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84a2a444e919525/Desktop/"/>
    </mc:Choice>
  </mc:AlternateContent>
  <xr:revisionPtr revIDLastSave="38" documentId="8_{09967E5E-48A2-4EC8-8009-D58AACC1D58E}" xr6:coauthVersionLast="47" xr6:coauthVersionMax="47" xr10:uidLastSave="{7A3DEF9B-7D1B-4F21-9A6F-580CFEFF1DBC}"/>
  <bookViews>
    <workbookView xWindow="44880" yWindow="-120" windowWidth="38640" windowHeight="21120" xr2:uid="{5C8A7C84-1D45-4CD9-B192-66035557AD09}"/>
  </bookViews>
  <sheets>
    <sheet name="Libor swap pricer" sheetId="1" r:id="rId1"/>
    <sheet name="discount curve stripping" sheetId="2" r:id="rId2"/>
  </sheets>
  <definedNames>
    <definedName name="solver_adj" localSheetId="1" hidden="1">'discount curve stripping'!$L$6:$L$17,'discount curve stripping'!$L$20,'discount curve stripping'!$L$25,'discount curve stripping'!$L$30,'discount curve stripping'!$L$35</definedName>
    <definedName name="solver_cvg" localSheetId="1" hidden="1">0.0001</definedName>
    <definedName name="solver_drv" localSheetId="1" hidden="1">2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'discount curve stripping'!$K$10</definedName>
    <definedName name="solver_lhs10" localSheetId="1" hidden="1">'discount curve stripping'!$K$25</definedName>
    <definedName name="solver_lhs11" localSheetId="1" hidden="1">'discount curve stripping'!$K$30</definedName>
    <definedName name="solver_lhs12" localSheetId="1" hidden="1">'discount curve stripping'!$K$35</definedName>
    <definedName name="solver_lhs13" localSheetId="1" hidden="1">'discount curve stripping'!$K$6</definedName>
    <definedName name="solver_lhs14" localSheetId="1" hidden="1">'discount curve stripping'!$K$7</definedName>
    <definedName name="solver_lhs15" localSheetId="1" hidden="1">'discount curve stripping'!$K$8</definedName>
    <definedName name="solver_lhs16" localSheetId="1" hidden="1">'discount curve stripping'!$K$9</definedName>
    <definedName name="solver_lhs2" localSheetId="1" hidden="1">'discount curve stripping'!$K$11</definedName>
    <definedName name="solver_lhs3" localSheetId="1" hidden="1">'discount curve stripping'!$K$12</definedName>
    <definedName name="solver_lhs4" localSheetId="1" hidden="1">'discount curve stripping'!$K$13</definedName>
    <definedName name="solver_lhs5" localSheetId="1" hidden="1">'discount curve stripping'!$K$14</definedName>
    <definedName name="solver_lhs6" localSheetId="1" hidden="1">'discount curve stripping'!$K$15</definedName>
    <definedName name="solver_lhs7" localSheetId="1" hidden="1">'discount curve stripping'!$K$16</definedName>
    <definedName name="solver_lhs8" localSheetId="1" hidden="1">'discount curve stripping'!$K$17</definedName>
    <definedName name="solver_lhs9" localSheetId="1" hidden="1">'discount curve stripping'!$K$20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16</definedName>
    <definedName name="solver_nwt" localSheetId="1" hidden="1">1</definedName>
    <definedName name="solver_pre" localSheetId="1" hidden="1">0.000001</definedName>
    <definedName name="solver_rbv" localSheetId="1" hidden="1">2</definedName>
    <definedName name="solver_rel1" localSheetId="1" hidden="1">2</definedName>
    <definedName name="solver_rel10" localSheetId="1" hidden="1">2</definedName>
    <definedName name="solver_rel11" localSheetId="1" hidden="1">2</definedName>
    <definedName name="solver_rel12" localSheetId="1" hidden="1">2</definedName>
    <definedName name="solver_rel13" localSheetId="1" hidden="1">2</definedName>
    <definedName name="solver_rel14" localSheetId="1" hidden="1">2</definedName>
    <definedName name="solver_rel15" localSheetId="1" hidden="1">2</definedName>
    <definedName name="solver_rel16" localSheetId="1" hidden="1">2</definedName>
    <definedName name="solver_rel2" localSheetId="1" hidden="1">2</definedName>
    <definedName name="solver_rel3" localSheetId="1" hidden="1">2</definedName>
    <definedName name="solver_rel4" localSheetId="1" hidden="1">2</definedName>
    <definedName name="solver_rel5" localSheetId="1" hidden="1">2</definedName>
    <definedName name="solver_rel6" localSheetId="1" hidden="1">2</definedName>
    <definedName name="solver_rel7" localSheetId="1" hidden="1">2</definedName>
    <definedName name="solver_rel8" localSheetId="1" hidden="1">2</definedName>
    <definedName name="solver_rel9" localSheetId="1" hidden="1">2</definedName>
    <definedName name="solver_rhs1" localSheetId="1" hidden="1">'discount curve stripping'!$J$10</definedName>
    <definedName name="solver_rhs10" localSheetId="1" hidden="1">'discount curve stripping'!$J$25</definedName>
    <definedName name="solver_rhs11" localSheetId="1" hidden="1">'discount curve stripping'!$J$30</definedName>
    <definedName name="solver_rhs12" localSheetId="1" hidden="1">'discount curve stripping'!$J$35</definedName>
    <definedName name="solver_rhs13" localSheetId="1" hidden="1">'discount curve stripping'!$J$6</definedName>
    <definedName name="solver_rhs14" localSheetId="1" hidden="1">'discount curve stripping'!$J$7</definedName>
    <definedName name="solver_rhs15" localSheetId="1" hidden="1">'discount curve stripping'!$J$8</definedName>
    <definedName name="solver_rhs16" localSheetId="1" hidden="1">'discount curve stripping'!$J$9</definedName>
    <definedName name="solver_rhs2" localSheetId="1" hidden="1">'discount curve stripping'!$J$11</definedName>
    <definedName name="solver_rhs3" localSheetId="1" hidden="1">'discount curve stripping'!$J$12</definedName>
    <definedName name="solver_rhs4" localSheetId="1" hidden="1">'discount curve stripping'!$J$13</definedName>
    <definedName name="solver_rhs5" localSheetId="1" hidden="1">'discount curve stripping'!$J$14</definedName>
    <definedName name="solver_rhs6" localSheetId="1" hidden="1">'discount curve stripping'!$J$15</definedName>
    <definedName name="solver_rhs7" localSheetId="1" hidden="1">'discount curve stripping'!$J$16</definedName>
    <definedName name="solver_rhs8" localSheetId="1" hidden="1">'discount curve stripping'!$J$17</definedName>
    <definedName name="solver_rhs9" localSheetId="1" hidden="1">'discount curve stripping'!$J$20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8" i="1" l="1"/>
  <c r="E149" i="1"/>
  <c r="E150" i="1"/>
  <c r="E151" i="1"/>
  <c r="E139" i="1"/>
  <c r="E140" i="1"/>
  <c r="E141" i="1"/>
  <c r="E142" i="1"/>
  <c r="E143" i="1"/>
  <c r="E144" i="1"/>
  <c r="E145" i="1"/>
  <c r="E146" i="1"/>
  <c r="E147" i="1"/>
  <c r="E138" i="1"/>
  <c r="E137" i="1"/>
  <c r="E136" i="1"/>
  <c r="G126" i="1"/>
  <c r="G124" i="1"/>
  <c r="G122" i="1"/>
  <c r="G120" i="1"/>
  <c r="G118" i="1"/>
  <c r="G116" i="1"/>
  <c r="G114" i="1"/>
  <c r="G112" i="1"/>
  <c r="G110" i="1"/>
  <c r="G108" i="1"/>
  <c r="G106" i="1"/>
  <c r="G104" i="1"/>
  <c r="G102" i="1"/>
  <c r="G100" i="1"/>
  <c r="G98" i="1"/>
  <c r="G96" i="1"/>
  <c r="G94" i="1"/>
  <c r="G92" i="1"/>
  <c r="G90" i="1"/>
  <c r="G88" i="1"/>
  <c r="G86" i="1"/>
  <c r="G84" i="1"/>
  <c r="G82" i="1"/>
  <c r="G80" i="1"/>
  <c r="G78" i="1"/>
  <c r="G76" i="1"/>
  <c r="G74" i="1"/>
  <c r="G72" i="1"/>
  <c r="G70" i="1"/>
  <c r="G68" i="1"/>
  <c r="G66" i="1"/>
  <c r="G64" i="1"/>
  <c r="G62" i="1"/>
  <c r="G60" i="1"/>
  <c r="G58" i="1"/>
  <c r="G56" i="1"/>
  <c r="G54" i="1"/>
  <c r="G52" i="1"/>
  <c r="G50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8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E5" i="1"/>
  <c r="D5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7" i="1"/>
  <c r="V5" i="2"/>
  <c r="M35" i="2"/>
  <c r="M30" i="2"/>
  <c r="M25" i="2"/>
  <c r="M20" i="2"/>
  <c r="M7" i="2"/>
  <c r="N7" i="2" s="1"/>
  <c r="O7" i="2" s="1"/>
  <c r="M8" i="2"/>
  <c r="N8" i="2" s="1"/>
  <c r="O8" i="2" s="1"/>
  <c r="M9" i="2"/>
  <c r="N9" i="2" s="1"/>
  <c r="O9" i="2" s="1"/>
  <c r="M10" i="2"/>
  <c r="N10" i="2" s="1"/>
  <c r="O10" i="2" s="1"/>
  <c r="M11" i="2"/>
  <c r="N11" i="2" s="1"/>
  <c r="O11" i="2" s="1"/>
  <c r="M12" i="2"/>
  <c r="N12" i="2" s="1"/>
  <c r="M13" i="2"/>
  <c r="N13" i="2" s="1"/>
  <c r="M14" i="2"/>
  <c r="N14" i="2" s="1"/>
  <c r="O14" i="2" s="1"/>
  <c r="M15" i="2"/>
  <c r="N15" i="2" s="1"/>
  <c r="O15" i="2" s="1"/>
  <c r="M16" i="2"/>
  <c r="N16" i="2" s="1"/>
  <c r="O16" i="2" s="1"/>
  <c r="M17" i="2"/>
  <c r="N17" i="2" s="1"/>
  <c r="U53" i="2" s="1"/>
  <c r="V53" i="2" s="1"/>
  <c r="M6" i="2"/>
  <c r="N6" i="2" s="1"/>
  <c r="O6" i="2" s="1"/>
  <c r="R6" i="2" s="1"/>
  <c r="J35" i="2"/>
  <c r="J30" i="2"/>
  <c r="J25" i="2"/>
  <c r="J20" i="2"/>
  <c r="J8" i="2"/>
  <c r="J9" i="2"/>
  <c r="J10" i="2"/>
  <c r="J11" i="2"/>
  <c r="J12" i="2"/>
  <c r="J13" i="2"/>
  <c r="J14" i="2"/>
  <c r="J15" i="2"/>
  <c r="J16" i="2"/>
  <c r="J17" i="2"/>
  <c r="J7" i="2"/>
  <c r="J6" i="2"/>
  <c r="F6" i="2"/>
  <c r="F7" i="2"/>
  <c r="F8" i="2"/>
  <c r="F14" i="2"/>
  <c r="F15" i="2"/>
  <c r="F16" i="2"/>
  <c r="F19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5" i="2"/>
  <c r="C20" i="2"/>
  <c r="F20" i="2" s="1"/>
  <c r="C18" i="2"/>
  <c r="F18" i="2" s="1"/>
  <c r="C17" i="2"/>
  <c r="F17" i="2" s="1"/>
  <c r="C16" i="2"/>
  <c r="C15" i="2"/>
  <c r="C14" i="2"/>
  <c r="C13" i="2"/>
  <c r="F13" i="2" s="1"/>
  <c r="C12" i="2"/>
  <c r="F12" i="2" s="1"/>
  <c r="C11" i="2"/>
  <c r="F11" i="2" s="1"/>
  <c r="C10" i="2"/>
  <c r="F10" i="2" s="1"/>
  <c r="C9" i="2"/>
  <c r="F9" i="2" s="1"/>
  <c r="C8" i="2"/>
  <c r="C7" i="2"/>
  <c r="C6" i="2"/>
  <c r="C5" i="2"/>
  <c r="U29" i="2" l="1"/>
  <c r="V29" i="2" s="1"/>
  <c r="W29" i="2" s="1"/>
  <c r="U13" i="2"/>
  <c r="V13" i="2" s="1"/>
  <c r="W13" i="2" s="1"/>
  <c r="U25" i="2"/>
  <c r="V25" i="2" s="1"/>
  <c r="U45" i="2"/>
  <c r="V45" i="2" s="1"/>
  <c r="W45" i="2" s="1"/>
  <c r="O13" i="2"/>
  <c r="Q13" i="2" s="1"/>
  <c r="U37" i="2"/>
  <c r="V37" i="2" s="1"/>
  <c r="O12" i="2"/>
  <c r="R12" i="2" s="1"/>
  <c r="U33" i="2"/>
  <c r="V33" i="2" s="1"/>
  <c r="W53" i="2"/>
  <c r="W5" i="2"/>
  <c r="C6" i="1" s="1"/>
  <c r="U9" i="2"/>
  <c r="V9" i="2" s="1"/>
  <c r="U41" i="2"/>
  <c r="V41" i="2" s="1"/>
  <c r="U17" i="2"/>
  <c r="V17" i="2" s="1"/>
  <c r="U49" i="2"/>
  <c r="V49" i="2" s="1"/>
  <c r="U21" i="2"/>
  <c r="V21" i="2" s="1"/>
  <c r="R10" i="2"/>
  <c r="Q10" i="2"/>
  <c r="R16" i="2"/>
  <c r="Q15" i="2"/>
  <c r="R15" i="2"/>
  <c r="Q7" i="2"/>
  <c r="R7" i="2"/>
  <c r="R11" i="2"/>
  <c r="Q9" i="2"/>
  <c r="R9" i="2"/>
  <c r="Q14" i="2"/>
  <c r="R14" i="2"/>
  <c r="Q5" i="2"/>
  <c r="K6" i="2" s="1"/>
  <c r="Q6" i="2"/>
  <c r="O17" i="2"/>
  <c r="Q16" i="2" s="1"/>
  <c r="N18" i="2"/>
  <c r="U57" i="2" s="1"/>
  <c r="V57" i="2" s="1"/>
  <c r="Q8" i="2"/>
  <c r="R8" i="2"/>
  <c r="V28" i="2" l="1"/>
  <c r="W28" i="2" s="1"/>
  <c r="C29" i="1" s="1"/>
  <c r="R13" i="2"/>
  <c r="W25" i="2"/>
  <c r="C26" i="1" s="1"/>
  <c r="V56" i="2"/>
  <c r="W56" i="2" s="1"/>
  <c r="X56" i="2" s="1"/>
  <c r="V30" i="2"/>
  <c r="W30" i="2" s="1"/>
  <c r="C31" i="1" s="1"/>
  <c r="V31" i="2"/>
  <c r="W31" i="2" s="1"/>
  <c r="C32" i="1" s="1"/>
  <c r="V55" i="2"/>
  <c r="W55" i="2" s="1"/>
  <c r="X55" i="2" s="1"/>
  <c r="V26" i="2"/>
  <c r="W26" i="2" s="1"/>
  <c r="V27" i="2"/>
  <c r="W27" i="2" s="1"/>
  <c r="V50" i="2"/>
  <c r="W50" i="2" s="1"/>
  <c r="V52" i="2"/>
  <c r="W52" i="2" s="1"/>
  <c r="V51" i="2"/>
  <c r="W51" i="2" s="1"/>
  <c r="W49" i="2"/>
  <c r="V8" i="2"/>
  <c r="W8" i="2" s="1"/>
  <c r="V18" i="2"/>
  <c r="W18" i="2" s="1"/>
  <c r="V19" i="2"/>
  <c r="W19" i="2" s="1"/>
  <c r="W17" i="2"/>
  <c r="V20" i="2"/>
  <c r="W20" i="2" s="1"/>
  <c r="V34" i="2"/>
  <c r="W34" i="2" s="1"/>
  <c r="V36" i="2"/>
  <c r="W36" i="2" s="1"/>
  <c r="V35" i="2"/>
  <c r="W35" i="2" s="1"/>
  <c r="W33" i="2"/>
  <c r="V14" i="2"/>
  <c r="W14" i="2" s="1"/>
  <c r="V6" i="2"/>
  <c r="W6" i="2" s="1"/>
  <c r="V16" i="2"/>
  <c r="W16" i="2" s="1"/>
  <c r="V24" i="2"/>
  <c r="W24" i="2" s="1"/>
  <c r="W21" i="2"/>
  <c r="V23" i="2"/>
  <c r="W23" i="2" s="1"/>
  <c r="V22" i="2"/>
  <c r="W22" i="2" s="1"/>
  <c r="V42" i="2"/>
  <c r="W42" i="2" s="1"/>
  <c r="V43" i="2"/>
  <c r="W43" i="2" s="1"/>
  <c r="V44" i="2"/>
  <c r="W44" i="2" s="1"/>
  <c r="W41" i="2"/>
  <c r="C54" i="1"/>
  <c r="X53" i="2"/>
  <c r="V46" i="2"/>
  <c r="W46" i="2" s="1"/>
  <c r="C46" i="1"/>
  <c r="X45" i="2"/>
  <c r="C30" i="1"/>
  <c r="X29" i="2"/>
  <c r="Q11" i="2"/>
  <c r="V32" i="2"/>
  <c r="W32" i="2" s="1"/>
  <c r="V40" i="2"/>
  <c r="W40" i="2" s="1"/>
  <c r="W37" i="2"/>
  <c r="V39" i="2"/>
  <c r="W39" i="2" s="1"/>
  <c r="V38" i="2"/>
  <c r="W38" i="2" s="1"/>
  <c r="V10" i="2"/>
  <c r="W10" i="2" s="1"/>
  <c r="V12" i="2"/>
  <c r="W12" i="2" s="1"/>
  <c r="V11" i="2"/>
  <c r="W11" i="2" s="1"/>
  <c r="W9" i="2"/>
  <c r="C14" i="1"/>
  <c r="X13" i="2"/>
  <c r="W57" i="2"/>
  <c r="V47" i="2"/>
  <c r="W47" i="2" s="1"/>
  <c r="Q12" i="2"/>
  <c r="V15" i="2"/>
  <c r="W15" i="2" s="1"/>
  <c r="V7" i="2"/>
  <c r="W7" i="2" s="1"/>
  <c r="V48" i="2"/>
  <c r="W48" i="2" s="1"/>
  <c r="V54" i="2"/>
  <c r="W54" i="2" s="1"/>
  <c r="K9" i="2"/>
  <c r="O18" i="2"/>
  <c r="Q17" i="2" s="1"/>
  <c r="N19" i="2"/>
  <c r="U61" i="2" s="1"/>
  <c r="V61" i="2" s="1"/>
  <c r="K7" i="2"/>
  <c r="R17" i="2"/>
  <c r="K10" i="2"/>
  <c r="K11" i="2"/>
  <c r="K8" i="2"/>
  <c r="X25" i="2" l="1"/>
  <c r="X28" i="2"/>
  <c r="C57" i="1"/>
  <c r="C56" i="1"/>
  <c r="V58" i="2"/>
  <c r="W58" i="2" s="1"/>
  <c r="C59" i="1" s="1"/>
  <c r="K16" i="2"/>
  <c r="X31" i="2"/>
  <c r="K17" i="2"/>
  <c r="K13" i="2"/>
  <c r="K14" i="2"/>
  <c r="X30" i="2"/>
  <c r="C27" i="1"/>
  <c r="X26" i="2"/>
  <c r="K12" i="2"/>
  <c r="X27" i="2"/>
  <c r="C28" i="1"/>
  <c r="K15" i="2"/>
  <c r="C33" i="1"/>
  <c r="X32" i="2"/>
  <c r="C49" i="1"/>
  <c r="X48" i="2"/>
  <c r="C22" i="1"/>
  <c r="X21" i="2"/>
  <c r="C35" i="1"/>
  <c r="X34" i="2"/>
  <c r="C19" i="1"/>
  <c r="X18" i="2"/>
  <c r="C9" i="1"/>
  <c r="X8" i="2"/>
  <c r="C25" i="1"/>
  <c r="X24" i="2"/>
  <c r="C16" i="1"/>
  <c r="X15" i="2"/>
  <c r="C40" i="1"/>
  <c r="X39" i="2"/>
  <c r="X41" i="2"/>
  <c r="C42" i="1"/>
  <c r="C17" i="1"/>
  <c r="X16" i="2"/>
  <c r="X49" i="2"/>
  <c r="C50" i="1"/>
  <c r="C45" i="1"/>
  <c r="X44" i="2"/>
  <c r="C7" i="1"/>
  <c r="X6" i="2"/>
  <c r="X51" i="2"/>
  <c r="C52" i="1"/>
  <c r="C15" i="1"/>
  <c r="X14" i="2"/>
  <c r="C53" i="1"/>
  <c r="X52" i="2"/>
  <c r="C39" i="1"/>
  <c r="X38" i="2"/>
  <c r="C10" i="1"/>
  <c r="X9" i="2"/>
  <c r="W61" i="2"/>
  <c r="C48" i="1"/>
  <c r="X47" i="2"/>
  <c r="X11" i="2"/>
  <c r="C12" i="1"/>
  <c r="C41" i="1"/>
  <c r="X40" i="2"/>
  <c r="X43" i="2"/>
  <c r="C44" i="1"/>
  <c r="V59" i="2"/>
  <c r="W59" i="2" s="1"/>
  <c r="C13" i="1"/>
  <c r="X12" i="2"/>
  <c r="C47" i="1"/>
  <c r="X46" i="2"/>
  <c r="C43" i="1"/>
  <c r="X42" i="2"/>
  <c r="X33" i="2"/>
  <c r="C34" i="1"/>
  <c r="C21" i="1"/>
  <c r="X20" i="2"/>
  <c r="C51" i="1"/>
  <c r="X50" i="2"/>
  <c r="C55" i="1"/>
  <c r="X54" i="2"/>
  <c r="C8" i="1"/>
  <c r="X7" i="2"/>
  <c r="C38" i="1"/>
  <c r="X37" i="2"/>
  <c r="V60" i="2"/>
  <c r="W60" i="2" s="1"/>
  <c r="C11" i="1"/>
  <c r="X10" i="2"/>
  <c r="C23" i="1"/>
  <c r="X22" i="2"/>
  <c r="X35" i="2"/>
  <c r="C36" i="1"/>
  <c r="X17" i="2"/>
  <c r="C18" i="1"/>
  <c r="X57" i="2"/>
  <c r="C58" i="1"/>
  <c r="C24" i="1"/>
  <c r="X23" i="2"/>
  <c r="C37" i="1"/>
  <c r="X36" i="2"/>
  <c r="X19" i="2"/>
  <c r="C20" i="1"/>
  <c r="N20" i="2"/>
  <c r="U65" i="2" s="1"/>
  <c r="V65" i="2" s="1"/>
  <c r="O19" i="2"/>
  <c r="Q18" i="2" s="1"/>
  <c r="K19" i="2" s="1"/>
  <c r="R18" i="2"/>
  <c r="K18" i="2"/>
  <c r="X58" i="2" l="1"/>
  <c r="X59" i="2"/>
  <c r="C60" i="1"/>
  <c r="V62" i="2"/>
  <c r="W62" i="2" s="1"/>
  <c r="V63" i="2"/>
  <c r="W63" i="2" s="1"/>
  <c r="C62" i="1"/>
  <c r="X61" i="2"/>
  <c r="C61" i="1"/>
  <c r="X60" i="2"/>
  <c r="W65" i="2"/>
  <c r="V64" i="2"/>
  <c r="W64" i="2" s="1"/>
  <c r="N21" i="2"/>
  <c r="U69" i="2" s="1"/>
  <c r="V69" i="2" s="1"/>
  <c r="O20" i="2"/>
  <c r="Q19" i="2" s="1"/>
  <c r="K20" i="2" s="1"/>
  <c r="R19" i="2"/>
  <c r="V68" i="2" l="1"/>
  <c r="W68" i="2" s="1"/>
  <c r="C69" i="1" s="1"/>
  <c r="V66" i="2"/>
  <c r="W66" i="2" s="1"/>
  <c r="C67" i="1" s="1"/>
  <c r="V67" i="2"/>
  <c r="W67" i="2" s="1"/>
  <c r="X67" i="2" s="1"/>
  <c r="C64" i="1"/>
  <c r="X63" i="2"/>
  <c r="C65" i="1"/>
  <c r="X64" i="2"/>
  <c r="X65" i="2"/>
  <c r="C66" i="1"/>
  <c r="C63" i="1"/>
  <c r="X62" i="2"/>
  <c r="W69" i="2"/>
  <c r="R20" i="2"/>
  <c r="N22" i="2"/>
  <c r="U73" i="2" s="1"/>
  <c r="V73" i="2" s="1"/>
  <c r="O21" i="2"/>
  <c r="X66" i="2" l="1"/>
  <c r="X68" i="2"/>
  <c r="C68" i="1"/>
  <c r="W73" i="2"/>
  <c r="V70" i="2"/>
  <c r="W70" i="2" s="1"/>
  <c r="V71" i="2"/>
  <c r="W71" i="2" s="1"/>
  <c r="C70" i="1"/>
  <c r="X69" i="2"/>
  <c r="V72" i="2"/>
  <c r="W72" i="2" s="1"/>
  <c r="N23" i="2"/>
  <c r="U77" i="2" s="1"/>
  <c r="V77" i="2" s="1"/>
  <c r="O22" i="2"/>
  <c r="Q21" i="2" s="1"/>
  <c r="R21" i="2"/>
  <c r="Q20" i="2"/>
  <c r="V76" i="2" l="1"/>
  <c r="W76" i="2" s="1"/>
  <c r="C77" i="1" s="1"/>
  <c r="V74" i="2"/>
  <c r="W74" i="2" s="1"/>
  <c r="C75" i="1" s="1"/>
  <c r="W77" i="2"/>
  <c r="V75" i="2"/>
  <c r="W75" i="2" s="1"/>
  <c r="C71" i="1"/>
  <c r="X70" i="2"/>
  <c r="C73" i="1"/>
  <c r="X72" i="2"/>
  <c r="X73" i="2"/>
  <c r="C74" i="1"/>
  <c r="C72" i="1"/>
  <c r="X71" i="2"/>
  <c r="K22" i="2"/>
  <c r="K21" i="2"/>
  <c r="R22" i="2"/>
  <c r="N24" i="2"/>
  <c r="U81" i="2" s="1"/>
  <c r="V81" i="2" s="1"/>
  <c r="O23" i="2"/>
  <c r="Q22" i="2" s="1"/>
  <c r="X76" i="2" l="1"/>
  <c r="X74" i="2"/>
  <c r="X75" i="2"/>
  <c r="C76" i="1"/>
  <c r="V78" i="2"/>
  <c r="W78" i="2" s="1"/>
  <c r="V79" i="2"/>
  <c r="W79" i="2" s="1"/>
  <c r="C78" i="1"/>
  <c r="X77" i="2"/>
  <c r="W81" i="2"/>
  <c r="V80" i="2"/>
  <c r="W80" i="2" s="1"/>
  <c r="N25" i="2"/>
  <c r="U85" i="2" s="1"/>
  <c r="V85" i="2" s="1"/>
  <c r="O24" i="2"/>
  <c r="R23" i="2"/>
  <c r="K23" i="2"/>
  <c r="V82" i="2" l="1"/>
  <c r="W82" i="2" s="1"/>
  <c r="X82" i="2" s="1"/>
  <c r="C80" i="1"/>
  <c r="X79" i="2"/>
  <c r="C81" i="1"/>
  <c r="X80" i="2"/>
  <c r="X81" i="2"/>
  <c r="C82" i="1"/>
  <c r="V84" i="2"/>
  <c r="W84" i="2" s="1"/>
  <c r="W85" i="2"/>
  <c r="C79" i="1"/>
  <c r="X78" i="2"/>
  <c r="V83" i="2"/>
  <c r="W83" i="2" s="1"/>
  <c r="R24" i="2"/>
  <c r="N26" i="2"/>
  <c r="U89" i="2" s="1"/>
  <c r="V89" i="2" s="1"/>
  <c r="O25" i="2"/>
  <c r="Q23" i="2"/>
  <c r="K24" i="2" s="1"/>
  <c r="C83" i="1" l="1"/>
  <c r="V87" i="2"/>
  <c r="W87" i="2" s="1"/>
  <c r="X87" i="2" s="1"/>
  <c r="V86" i="2"/>
  <c r="W86" i="2" s="1"/>
  <c r="X86" i="2" s="1"/>
  <c r="X83" i="2"/>
  <c r="C84" i="1"/>
  <c r="C85" i="1"/>
  <c r="X84" i="2"/>
  <c r="C86" i="1"/>
  <c r="X85" i="2"/>
  <c r="W89" i="2"/>
  <c r="V88" i="2"/>
  <c r="W88" i="2" s="1"/>
  <c r="R25" i="2"/>
  <c r="N27" i="2"/>
  <c r="U93" i="2" s="1"/>
  <c r="V93" i="2" s="1"/>
  <c r="O26" i="2"/>
  <c r="Q25" i="2" s="1"/>
  <c r="Q24" i="2"/>
  <c r="K25" i="2" s="1"/>
  <c r="C87" i="1" l="1"/>
  <c r="C88" i="1"/>
  <c r="V92" i="2"/>
  <c r="W92" i="2" s="1"/>
  <c r="X92" i="2" s="1"/>
  <c r="V90" i="2"/>
  <c r="W90" i="2" s="1"/>
  <c r="X90" i="2" s="1"/>
  <c r="V91" i="2"/>
  <c r="W91" i="2" s="1"/>
  <c r="X91" i="2" s="1"/>
  <c r="X89" i="2"/>
  <c r="C90" i="1"/>
  <c r="C89" i="1"/>
  <c r="X88" i="2"/>
  <c r="W93" i="2"/>
  <c r="R26" i="2"/>
  <c r="K26" i="2"/>
  <c r="N28" i="2"/>
  <c r="U97" i="2" s="1"/>
  <c r="V97" i="2" s="1"/>
  <c r="O27" i="2"/>
  <c r="C93" i="1" l="1"/>
  <c r="C91" i="1"/>
  <c r="V95" i="2"/>
  <c r="W95" i="2" s="1"/>
  <c r="X95" i="2" s="1"/>
  <c r="V94" i="2"/>
  <c r="W94" i="2" s="1"/>
  <c r="C95" i="1" s="1"/>
  <c r="C92" i="1"/>
  <c r="C94" i="1"/>
  <c r="X93" i="2"/>
  <c r="V96" i="2"/>
  <c r="W96" i="2" s="1"/>
  <c r="W97" i="2"/>
  <c r="N29" i="2"/>
  <c r="U101" i="2" s="1"/>
  <c r="V101" i="2" s="1"/>
  <c r="O28" i="2"/>
  <c r="Q27" i="2" s="1"/>
  <c r="R27" i="2"/>
  <c r="Q26" i="2"/>
  <c r="K27" i="2" s="1"/>
  <c r="C96" i="1" l="1"/>
  <c r="X94" i="2"/>
  <c r="V98" i="2"/>
  <c r="W98" i="2" s="1"/>
  <c r="X98" i="2" s="1"/>
  <c r="C97" i="1"/>
  <c r="X96" i="2"/>
  <c r="X97" i="2"/>
  <c r="C98" i="1"/>
  <c r="W101" i="2"/>
  <c r="V99" i="2"/>
  <c r="W99" i="2" s="1"/>
  <c r="V100" i="2"/>
  <c r="W100" i="2" s="1"/>
  <c r="R28" i="2"/>
  <c r="K28" i="2"/>
  <c r="N30" i="2"/>
  <c r="U105" i="2" s="1"/>
  <c r="V105" i="2" s="1"/>
  <c r="O29" i="2"/>
  <c r="C99" i="1" l="1"/>
  <c r="C101" i="1"/>
  <c r="X100" i="2"/>
  <c r="C102" i="1"/>
  <c r="X101" i="2"/>
  <c r="X99" i="2"/>
  <c r="C100" i="1"/>
  <c r="V102" i="2"/>
  <c r="W102" i="2" s="1"/>
  <c r="W105" i="2"/>
  <c r="V103" i="2"/>
  <c r="W103" i="2" s="1"/>
  <c r="V104" i="2"/>
  <c r="W104" i="2" s="1"/>
  <c r="R29" i="2"/>
  <c r="O30" i="2"/>
  <c r="N31" i="2"/>
  <c r="U109" i="2" s="1"/>
  <c r="V109" i="2" s="1"/>
  <c r="Q28" i="2"/>
  <c r="K29" i="2" s="1"/>
  <c r="W109" i="2" l="1"/>
  <c r="C105" i="1"/>
  <c r="X104" i="2"/>
  <c r="V106" i="2"/>
  <c r="W106" i="2" s="1"/>
  <c r="C103" i="1"/>
  <c r="X102" i="2"/>
  <c r="C104" i="1"/>
  <c r="X103" i="2"/>
  <c r="V107" i="2"/>
  <c r="W107" i="2" s="1"/>
  <c r="V108" i="2"/>
  <c r="W108" i="2" s="1"/>
  <c r="C106" i="1"/>
  <c r="X105" i="2"/>
  <c r="O31" i="2"/>
  <c r="Q30" i="2" s="1"/>
  <c r="N32" i="2"/>
  <c r="U113" i="2" s="1"/>
  <c r="V113" i="2" s="1"/>
  <c r="R30" i="2"/>
  <c r="Q29" i="2"/>
  <c r="K30" i="2" s="1"/>
  <c r="V110" i="2" l="1"/>
  <c r="W110" i="2" s="1"/>
  <c r="X110" i="2" s="1"/>
  <c r="C109" i="1"/>
  <c r="X108" i="2"/>
  <c r="C107" i="1"/>
  <c r="X106" i="2"/>
  <c r="V111" i="2"/>
  <c r="W111" i="2" s="1"/>
  <c r="C110" i="1"/>
  <c r="X109" i="2"/>
  <c r="X107" i="2"/>
  <c r="C108" i="1"/>
  <c r="W113" i="2"/>
  <c r="V112" i="2"/>
  <c r="W112" i="2" s="1"/>
  <c r="N33" i="2"/>
  <c r="U117" i="2" s="1"/>
  <c r="V117" i="2" s="1"/>
  <c r="O32" i="2"/>
  <c r="R31" i="2"/>
  <c r="K31" i="2"/>
  <c r="C111" i="1" l="1"/>
  <c r="C112" i="1"/>
  <c r="X111" i="2"/>
  <c r="V115" i="2"/>
  <c r="W115" i="2" s="1"/>
  <c r="V116" i="2"/>
  <c r="W116" i="2" s="1"/>
  <c r="C113" i="1"/>
  <c r="X112" i="2"/>
  <c r="V114" i="2"/>
  <c r="W114" i="2" s="1"/>
  <c r="X113" i="2"/>
  <c r="C114" i="1"/>
  <c r="W117" i="2"/>
  <c r="R32" i="2"/>
  <c r="Q31" i="2"/>
  <c r="K32" i="2" s="1"/>
  <c r="N34" i="2"/>
  <c r="U121" i="2" s="1"/>
  <c r="V121" i="2" s="1"/>
  <c r="O33" i="2"/>
  <c r="Q32" i="2" s="1"/>
  <c r="V118" i="2" l="1"/>
  <c r="W118" i="2" s="1"/>
  <c r="C117" i="1"/>
  <c r="X116" i="2"/>
  <c r="W121" i="2"/>
  <c r="X115" i="2"/>
  <c r="C116" i="1"/>
  <c r="V119" i="2"/>
  <c r="W119" i="2" s="1"/>
  <c r="C118" i="1"/>
  <c r="X117" i="2"/>
  <c r="V120" i="2"/>
  <c r="W120" i="2" s="1"/>
  <c r="C115" i="1"/>
  <c r="X114" i="2"/>
  <c r="N35" i="2"/>
  <c r="O34" i="2"/>
  <c r="Q33" i="2" s="1"/>
  <c r="R33" i="2"/>
  <c r="K33" i="2"/>
  <c r="C121" i="1" l="1"/>
  <c r="X120" i="2"/>
  <c r="X121" i="2"/>
  <c r="C122" i="1"/>
  <c r="C120" i="1"/>
  <c r="X119" i="2"/>
  <c r="O35" i="2"/>
  <c r="Q34" i="2" s="1"/>
  <c r="K35" i="2" s="1"/>
  <c r="U125" i="2"/>
  <c r="C119" i="1"/>
  <c r="X118" i="2"/>
  <c r="R34" i="2"/>
  <c r="K34" i="2"/>
  <c r="R35" i="2" l="1"/>
  <c r="V125" i="2"/>
  <c r="W125" i="2" s="1"/>
  <c r="V123" i="2"/>
  <c r="W123" i="2" s="1"/>
  <c r="V122" i="2"/>
  <c r="W122" i="2" s="1"/>
  <c r="V124" i="2"/>
  <c r="W124" i="2" s="1"/>
  <c r="C125" i="1" l="1"/>
  <c r="X124" i="2"/>
  <c r="X123" i="2"/>
  <c r="C124" i="1"/>
  <c r="C123" i="1"/>
  <c r="X122" i="2"/>
  <c r="C126" i="1"/>
  <c r="G128" i="1" s="1"/>
  <c r="X125" i="2"/>
  <c r="D128" i="1" l="1"/>
  <c r="I128" i="1" s="1"/>
  <c r="E128" i="1"/>
  <c r="E131" i="1" l="1"/>
</calcChain>
</file>

<file path=xl/sharedStrings.xml><?xml version="1.0" encoding="utf-8"?>
<sst xmlns="http://schemas.openxmlformats.org/spreadsheetml/2006/main" count="129" uniqueCount="121">
  <si>
    <t>Tenor</t>
  </si>
  <si>
    <t>1 DY</t>
  </si>
  <si>
    <t>1 WK</t>
  </si>
  <si>
    <t>2 WK</t>
  </si>
  <si>
    <t>1 MO</t>
  </si>
  <si>
    <t>2 MO</t>
  </si>
  <si>
    <t>3 MO</t>
  </si>
  <si>
    <t>4 MO</t>
  </si>
  <si>
    <t>5 MO</t>
  </si>
  <si>
    <t>6 MO</t>
  </si>
  <si>
    <t>7 MO</t>
  </si>
  <si>
    <t>8 MO</t>
  </si>
  <si>
    <t>9 MO</t>
  </si>
  <si>
    <t>10 MO</t>
  </si>
  <si>
    <t>11 MO</t>
  </si>
  <si>
    <t>1 YR</t>
  </si>
  <si>
    <t>18 MO</t>
  </si>
  <si>
    <t>2 YR</t>
  </si>
  <si>
    <t>3 YR</t>
  </si>
  <si>
    <t>4 YR</t>
  </si>
  <si>
    <t>5 YR</t>
  </si>
  <si>
    <t>6 YR</t>
  </si>
  <si>
    <t>7 YR</t>
  </si>
  <si>
    <t>8 YR</t>
  </si>
  <si>
    <t>9 YR</t>
  </si>
  <si>
    <t>10 YR</t>
  </si>
  <si>
    <t>11 YR</t>
  </si>
  <si>
    <t>12 YR</t>
  </si>
  <si>
    <t>15 YR</t>
  </si>
  <si>
    <t>20 YR</t>
  </si>
  <si>
    <t>25 YR</t>
  </si>
  <si>
    <t>30 YR</t>
  </si>
  <si>
    <t>40 YR</t>
  </si>
  <si>
    <t>50 YR</t>
  </si>
  <si>
    <t>Tenor (yr)</t>
  </si>
  <si>
    <t>par rate</t>
  </si>
  <si>
    <t>Raw Data</t>
  </si>
  <si>
    <t>discount factor</t>
  </si>
  <si>
    <t>zero rate</t>
  </si>
  <si>
    <t>Calibrator</t>
  </si>
  <si>
    <t>Shock (bps)</t>
  </si>
  <si>
    <t>Selected calibration instruments</t>
  </si>
  <si>
    <t>par rate (derived)</t>
  </si>
  <si>
    <t>par rate (calibrate to)</t>
  </si>
  <si>
    <t>discount factor (calibrated)</t>
  </si>
  <si>
    <t>log discount factor</t>
  </si>
  <si>
    <t>interpolated log df (linear)</t>
  </si>
  <si>
    <t>Solve this column</t>
  </si>
  <si>
    <t>discount factor interpolator (log linear)</t>
  </si>
  <si>
    <t>recovered df from interp</t>
  </si>
  <si>
    <t>fwd rate notation</t>
  </si>
  <si>
    <t>F(0,1)</t>
  </si>
  <si>
    <t>F(1,2)</t>
  </si>
  <si>
    <t>F(2,3)</t>
  </si>
  <si>
    <t>F(3,4)</t>
  </si>
  <si>
    <t>F(4,5)</t>
  </si>
  <si>
    <t>F(5,6)</t>
  </si>
  <si>
    <t>F(6,7)</t>
  </si>
  <si>
    <t>F(7,8)</t>
  </si>
  <si>
    <t>F(8,9)</t>
  </si>
  <si>
    <t>F(9,10)</t>
  </si>
  <si>
    <t>F(10,11)</t>
  </si>
  <si>
    <t>F(11,12)</t>
  </si>
  <si>
    <t>F(12,13)</t>
  </si>
  <si>
    <t>F(13,14)</t>
  </si>
  <si>
    <t>F(14,15)</t>
  </si>
  <si>
    <t>F(15,16)</t>
  </si>
  <si>
    <t>F(16,17)</t>
  </si>
  <si>
    <t>F(17,18)</t>
  </si>
  <si>
    <t>F(18,19)</t>
  </si>
  <si>
    <t>F(19,20)</t>
  </si>
  <si>
    <t>F(20,21)</t>
  </si>
  <si>
    <t>F(21,22)</t>
  </si>
  <si>
    <t>F(22,23)</t>
  </si>
  <si>
    <t>F(23,24)</t>
  </si>
  <si>
    <t>F(24,25)</t>
  </si>
  <si>
    <t>F(25,26)</t>
  </si>
  <si>
    <t>F(26,27)</t>
  </si>
  <si>
    <t>F(27,28)</t>
  </si>
  <si>
    <t>F(28,29)</t>
  </si>
  <si>
    <t>F(29,30)</t>
  </si>
  <si>
    <t>1yr fwd rate</t>
  </si>
  <si>
    <t>bump these</t>
  </si>
  <si>
    <t>subject to these two columns are equal</t>
  </si>
  <si>
    <t>Quarter</t>
  </si>
  <si>
    <t>ESTR/SOFR (floating leg pays annually)</t>
  </si>
  <si>
    <t>Discount Factor Interpolator on quarters</t>
  </si>
  <si>
    <t>Notional</t>
  </si>
  <si>
    <t>30Y Libor Swap Par Rate (spot start)</t>
  </si>
  <si>
    <t>Discount Factor</t>
  </si>
  <si>
    <t>Floating Leg Equivalent Cash Flow (PV fixed = PV float)</t>
  </si>
  <si>
    <t>Fixed Leg</t>
  </si>
  <si>
    <t>Fixed Leg Cashflow</t>
  </si>
  <si>
    <t>fixed rate</t>
  </si>
  <si>
    <t>QE Date</t>
  </si>
  <si>
    <t>NPV</t>
  </si>
  <si>
    <t>NPV two legs</t>
  </si>
  <si>
    <t>(bump 1bps)</t>
  </si>
  <si>
    <t>on Libor@30yr</t>
  </si>
  <si>
    <t>DV01 reference curve</t>
  </si>
  <si>
    <t>DV01 discounting curve</t>
  </si>
  <si>
    <t>Original RFR</t>
  </si>
  <si>
    <t>RFR 1yr par rate + 1bps</t>
  </si>
  <si>
    <t>RFR 2yr par rate + 1bps</t>
  </si>
  <si>
    <t>RFR 3yr par rate + 1bps</t>
  </si>
  <si>
    <t>RFR 4yr par rate + 1bps</t>
  </si>
  <si>
    <t>RFR 5yr par rate + 1bps</t>
  </si>
  <si>
    <t>RFR 6yr par rate + 1bps</t>
  </si>
  <si>
    <t>RFR 7yr par rate + 1bps</t>
  </si>
  <si>
    <t>RFR 8yr par rate + 1bps</t>
  </si>
  <si>
    <t>RFR 9yr par rate + 1bps</t>
  </si>
  <si>
    <t>RFR 10yr par rate + 1bps</t>
  </si>
  <si>
    <t>RFR 11yr par rate + 1bps</t>
  </si>
  <si>
    <t>RFR 12yr par rate + 1bps</t>
  </si>
  <si>
    <t>RFR 15yr par rate + 1bps</t>
  </si>
  <si>
    <t>RFR 20yr par rate + 1bps</t>
  </si>
  <si>
    <t>RFR 25yr par rate + 1bps</t>
  </si>
  <si>
    <t>RFR 30yr par rate + 1bps</t>
  </si>
  <si>
    <t>Bucketed DV01</t>
  </si>
  <si>
    <t>Sensitivities</t>
  </si>
  <si>
    <t>(negative is outflow)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</si>
</sst>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_(* #,##0.000000_);_(* \(#,##0.000000\);_(* &quot;-&quot;??_);_(@_)"/>
    <numFmt numFmtId="167" formatCode="0.0000%"/>
    <numFmt numFmtId="177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164" fontId="0" fillId="0" borderId="0" xfId="1" applyNumberFormat="1" applyFont="1" applyBorder="1"/>
    <xf numFmtId="164" fontId="0" fillId="0" borderId="9" xfId="1" applyNumberFormat="1" applyFont="1" applyBorder="1"/>
    <xf numFmtId="43" fontId="0" fillId="0" borderId="0" xfId="1" applyFont="1" applyBorder="1"/>
    <xf numFmtId="165" fontId="0" fillId="0" borderId="0" xfId="1" applyNumberFormat="1" applyFont="1" applyBorder="1"/>
    <xf numFmtId="0" fontId="0" fillId="0" borderId="10" xfId="0" applyBorder="1"/>
    <xf numFmtId="165" fontId="0" fillId="0" borderId="11" xfId="1" applyNumberFormat="1" applyFont="1" applyBorder="1"/>
    <xf numFmtId="164" fontId="0" fillId="0" borderId="12" xfId="1" applyNumberFormat="1" applyFont="1" applyBorder="1"/>
    <xf numFmtId="0" fontId="0" fillId="0" borderId="2" xfId="0" applyBorder="1"/>
    <xf numFmtId="43" fontId="0" fillId="0" borderId="3" xfId="1" applyFont="1" applyBorder="1"/>
    <xf numFmtId="0" fontId="0" fillId="0" borderId="4" xfId="0" applyBorder="1"/>
    <xf numFmtId="165" fontId="1" fillId="2" borderId="0" xfId="1" applyNumberFormat="1" applyFont="1" applyFill="1" applyBorder="1"/>
    <xf numFmtId="164" fontId="1" fillId="2" borderId="9" xfId="1" applyNumberFormat="1" applyFont="1" applyFill="1" applyBorder="1"/>
    <xf numFmtId="0" fontId="0" fillId="0" borderId="0" xfId="0" applyAlignment="1">
      <alignment horizontal="right"/>
    </xf>
    <xf numFmtId="166" fontId="0" fillId="0" borderId="8" xfId="1" applyNumberFormat="1" applyFont="1" applyBorder="1"/>
    <xf numFmtId="166" fontId="0" fillId="0" borderId="10" xfId="1" applyNumberFormat="1" applyFont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8" xfId="0" applyBorder="1" applyAlignment="1">
      <alignment horizontal="center"/>
    </xf>
    <xf numFmtId="166" fontId="0" fillId="0" borderId="13" xfId="1" applyNumberFormat="1" applyFont="1" applyBorder="1"/>
    <xf numFmtId="166" fontId="0" fillId="0" borderId="14" xfId="1" applyNumberFormat="1" applyFont="1" applyBorder="1"/>
    <xf numFmtId="166" fontId="0" fillId="0" borderId="15" xfId="1" applyNumberFormat="1" applyFont="1" applyBorder="1"/>
    <xf numFmtId="166" fontId="2" fillId="0" borderId="14" xfId="1" applyNumberFormat="1" applyFont="1" applyBorder="1"/>
    <xf numFmtId="166" fontId="2" fillId="0" borderId="15" xfId="1" applyNumberFormat="1" applyFont="1" applyBorder="1"/>
    <xf numFmtId="166" fontId="0" fillId="0" borderId="9" xfId="0" applyNumberFormat="1" applyBorder="1"/>
    <xf numFmtId="166" fontId="0" fillId="0" borderId="12" xfId="0" applyNumberFormat="1" applyBorder="1"/>
    <xf numFmtId="0" fontId="0" fillId="0" borderId="1" xfId="0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3" borderId="9" xfId="1" applyNumberFormat="1" applyFont="1" applyFill="1" applyBorder="1"/>
    <xf numFmtId="164" fontId="0" fillId="3" borderId="8" xfId="0" applyNumberForma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64" fontId="0" fillId="3" borderId="12" xfId="1" applyNumberFormat="1" applyFont="1" applyFill="1" applyBorder="1"/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right"/>
    </xf>
    <xf numFmtId="167" fontId="0" fillId="0" borderId="9" xfId="2" applyNumberFormat="1" applyFont="1" applyBorder="1"/>
    <xf numFmtId="0" fontId="0" fillId="0" borderId="12" xfId="0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6" xfId="0" applyBorder="1"/>
    <xf numFmtId="0" fontId="0" fillId="0" borderId="0" xfId="0" applyBorder="1"/>
    <xf numFmtId="166" fontId="0" fillId="0" borderId="0" xfId="0" applyNumberFormat="1" applyBorder="1"/>
    <xf numFmtId="0" fontId="3" fillId="0" borderId="3" xfId="0" applyFont="1" applyBorder="1" applyAlignment="1">
      <alignment horizontal="right"/>
    </xf>
    <xf numFmtId="177" fontId="3" fillId="0" borderId="6" xfId="0" applyNumberFormat="1" applyFont="1" applyBorder="1"/>
    <xf numFmtId="177" fontId="3" fillId="0" borderId="0" xfId="0" applyNumberFormat="1" applyFont="1" applyBorder="1"/>
    <xf numFmtId="165" fontId="0" fillId="0" borderId="0" xfId="1" applyNumberFormat="1" applyFont="1"/>
    <xf numFmtId="10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right"/>
    </xf>
    <xf numFmtId="0" fontId="3" fillId="5" borderId="1" xfId="0" applyFont="1" applyFill="1" applyBorder="1"/>
    <xf numFmtId="165" fontId="0" fillId="5" borderId="0" xfId="0" applyNumberFormat="1" applyFill="1"/>
    <xf numFmtId="0" fontId="3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164" fontId="0" fillId="0" borderId="17" xfId="1" applyNumberFormat="1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7" fontId="0" fillId="0" borderId="20" xfId="2" applyNumberFormat="1" applyFont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2" fillId="0" borderId="26" xfId="0" applyFont="1" applyBorder="1" applyAlignment="1">
      <alignment horizontal="right"/>
    </xf>
    <xf numFmtId="0" fontId="0" fillId="0" borderId="26" xfId="0" applyBorder="1"/>
    <xf numFmtId="0" fontId="0" fillId="0" borderId="27" xfId="0" applyBorder="1"/>
    <xf numFmtId="0" fontId="3" fillId="0" borderId="16" xfId="0" applyFont="1" applyBorder="1"/>
    <xf numFmtId="0" fontId="0" fillId="0" borderId="19" xfId="0" applyBorder="1"/>
    <xf numFmtId="0" fontId="3" fillId="0" borderId="21" xfId="0" applyFont="1" applyBorder="1"/>
    <xf numFmtId="0" fontId="3" fillId="0" borderId="28" xfId="0" applyFont="1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0" fillId="0" borderId="25" xfId="0" applyBorder="1"/>
    <xf numFmtId="166" fontId="0" fillId="0" borderId="26" xfId="0" applyNumberFormat="1" applyBorder="1"/>
    <xf numFmtId="177" fontId="3" fillId="0" borderId="26" xfId="0" applyNumberFormat="1" applyFont="1" applyBorder="1"/>
    <xf numFmtId="167" fontId="0" fillId="0" borderId="27" xfId="2" applyNumberFormat="1" applyFont="1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1" xfId="0" applyBorder="1"/>
    <xf numFmtId="0" fontId="4" fillId="0" borderId="0" xfId="0" applyFont="1" applyBorder="1"/>
    <xf numFmtId="0" fontId="4" fillId="0" borderId="20" xfId="0" applyFont="1" applyBorder="1"/>
    <xf numFmtId="166" fontId="4" fillId="0" borderId="0" xfId="1" applyNumberFormat="1" applyFont="1" applyBorder="1"/>
    <xf numFmtId="167" fontId="4" fillId="0" borderId="20" xfId="2" applyNumberFormat="1" applyFont="1" applyBorder="1"/>
    <xf numFmtId="0" fontId="0" fillId="2" borderId="19" xfId="0" applyFill="1" applyBorder="1"/>
    <xf numFmtId="0" fontId="0" fillId="0" borderId="34" xfId="0" applyBorder="1"/>
    <xf numFmtId="0" fontId="0" fillId="2" borderId="35" xfId="0" applyFill="1" applyBorder="1" applyAlignment="1">
      <alignment horizontal="left"/>
    </xf>
    <xf numFmtId="0" fontId="0" fillId="2" borderId="36" xfId="0" applyFill="1" applyBorder="1" applyAlignment="1">
      <alignment horizontal="left"/>
    </xf>
    <xf numFmtId="0" fontId="0" fillId="6" borderId="17" xfId="0" applyFill="1" applyBorder="1" applyAlignment="1">
      <alignment horizontal="right"/>
    </xf>
    <xf numFmtId="165" fontId="0" fillId="6" borderId="18" xfId="0" applyNumberFormat="1" applyFill="1" applyBorder="1"/>
    <xf numFmtId="165" fontId="0" fillId="0" borderId="26" xfId="1" applyNumberFormat="1" applyFont="1" applyBorder="1"/>
    <xf numFmtId="0" fontId="3" fillId="0" borderId="19" xfId="0" applyFont="1" applyBorder="1"/>
    <xf numFmtId="165" fontId="0" fillId="0" borderId="0" xfId="0" applyNumberFormat="1" applyFill="1"/>
    <xf numFmtId="43" fontId="3" fillId="0" borderId="0" xfId="1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165" fontId="0" fillId="6" borderId="20" xfId="0" applyNumberFormat="1" applyFill="1" applyBorder="1"/>
    <xf numFmtId="165" fontId="0" fillId="6" borderId="27" xfId="0" applyNumberFormat="1" applyFill="1" applyBorder="1"/>
    <xf numFmtId="164" fontId="0" fillId="0" borderId="8" xfId="1" applyNumberFormat="1" applyFont="1" applyBorder="1"/>
    <xf numFmtId="165" fontId="0" fillId="0" borderId="0" xfId="0" applyNumberFormat="1" applyBorder="1"/>
    <xf numFmtId="165" fontId="0" fillId="0" borderId="9" xfId="0" applyNumberFormat="1" applyBorder="1"/>
    <xf numFmtId="164" fontId="0" fillId="0" borderId="10" xfId="1" applyNumberFormat="1" applyFont="1" applyBorder="1"/>
    <xf numFmtId="165" fontId="0" fillId="0" borderId="11" xfId="0" applyNumberFormat="1" applyBorder="1"/>
    <xf numFmtId="165" fontId="0" fillId="0" borderId="12" xfId="0" applyNumberFormat="1" applyBorder="1"/>
    <xf numFmtId="0" fontId="0" fillId="0" borderId="14" xfId="0" applyBorder="1"/>
    <xf numFmtId="165" fontId="0" fillId="0" borderId="14" xfId="0" applyNumberFormat="1" applyBorder="1"/>
    <xf numFmtId="165" fontId="0" fillId="0" borderId="15" xfId="0" applyNumberForma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/>
    <xf numFmtId="14" fontId="0" fillId="0" borderId="9" xfId="0" applyNumberFormat="1" applyBorder="1"/>
    <xf numFmtId="14" fontId="0" fillId="0" borderId="12" xfId="0" applyNumberFormat="1" applyBorder="1"/>
    <xf numFmtId="0" fontId="0" fillId="0" borderId="11" xfId="0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 rate (quote)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'discount curve stripping'!$D$4</c:f>
              <c:strCache>
                <c:ptCount val="1"/>
                <c:pt idx="0">
                  <c:v>par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'discount curve stripping'!$C$5:$C$37</c:f>
              <c:numCache>
                <c:formatCode>_(* #,##0.0000_);_(* \(#,##0.0000\);_(* "-"??_);_(@_)</c:formatCode>
                <c:ptCount val="33"/>
                <c:pt idx="0">
                  <c:v>2.7397260273972603E-3</c:v>
                </c:pt>
                <c:pt idx="1">
                  <c:v>1.9178082191780823E-2</c:v>
                </c:pt>
                <c:pt idx="2">
                  <c:v>3.8356164383561646E-2</c:v>
                </c:pt>
                <c:pt idx="3">
                  <c:v>8.3333333333333329E-2</c:v>
                </c:pt>
                <c:pt idx="4" formatCode="_(* #,##0.00_);_(* \(#,##0.00\);_(* &quot;-&quot;??_);_(@_)">
                  <c:v>0.16666666666666666</c:v>
                </c:pt>
                <c:pt idx="5" formatCode="_(* #,##0.00_);_(* \(#,##0.00\);_(* &quot;-&quot;??_);_(@_)">
                  <c:v>0.25</c:v>
                </c:pt>
                <c:pt idx="6" formatCode="_(* #,##0.00_);_(* \(#,##0.00\);_(* &quot;-&quot;??_);_(@_)">
                  <c:v>0.33333333333333331</c:v>
                </c:pt>
                <c:pt idx="7" formatCode="_(* #,##0.00_);_(* \(#,##0.00\);_(* &quot;-&quot;??_);_(@_)">
                  <c:v>0.41666666666666669</c:v>
                </c:pt>
                <c:pt idx="8" formatCode="_(* #,##0.00_);_(* \(#,##0.00\);_(* &quot;-&quot;??_);_(@_)">
                  <c:v>0.5</c:v>
                </c:pt>
                <c:pt idx="9" formatCode="_(* #,##0.00_);_(* \(#,##0.00\);_(* &quot;-&quot;??_);_(@_)">
                  <c:v>0.58333333333333337</c:v>
                </c:pt>
                <c:pt idx="10" formatCode="_(* #,##0.00_);_(* \(#,##0.00\);_(* &quot;-&quot;??_);_(@_)">
                  <c:v>0.66666666666666663</c:v>
                </c:pt>
                <c:pt idx="11" formatCode="_(* #,##0.00_);_(* \(#,##0.00\);_(* &quot;-&quot;??_);_(@_)">
                  <c:v>0.75</c:v>
                </c:pt>
                <c:pt idx="12" formatCode="_(* #,##0.00_);_(* \(#,##0.00\);_(* &quot;-&quot;??_);_(@_)">
                  <c:v>0.83333333333333337</c:v>
                </c:pt>
                <c:pt idx="13" formatCode="_(* #,##0.00_);_(* \(#,##0.00\);_(* &quot;-&quot;??_);_(@_)">
                  <c:v>0.91666666666666663</c:v>
                </c:pt>
                <c:pt idx="14" formatCode="_(* #,##0_);_(* \(#,##0\);_(* &quot;-&quot;??_);_(@_)">
                  <c:v>1</c:v>
                </c:pt>
                <c:pt idx="15" formatCode="_(* #,##0.00_);_(* \(#,##0.00\);_(* &quot;-&quot;??_);_(@_)">
                  <c:v>1.5</c:v>
                </c:pt>
                <c:pt idx="16" formatCode="_(* #,##0_);_(* \(#,##0\);_(* &quot;-&quot;??_);_(@_)">
                  <c:v>2</c:v>
                </c:pt>
                <c:pt idx="17" formatCode="_(* #,##0_);_(* \(#,##0\);_(* &quot;-&quot;??_);_(@_)">
                  <c:v>3</c:v>
                </c:pt>
                <c:pt idx="18" formatCode="_(* #,##0_);_(* \(#,##0\);_(* &quot;-&quot;??_);_(@_)">
                  <c:v>4</c:v>
                </c:pt>
                <c:pt idx="19" formatCode="_(* #,##0_);_(* \(#,##0\);_(* &quot;-&quot;??_);_(@_)">
                  <c:v>5</c:v>
                </c:pt>
                <c:pt idx="20" formatCode="_(* #,##0_);_(* \(#,##0\);_(* &quot;-&quot;??_);_(@_)">
                  <c:v>6</c:v>
                </c:pt>
                <c:pt idx="21" formatCode="_(* #,##0_);_(* \(#,##0\);_(* &quot;-&quot;??_);_(@_)">
                  <c:v>7</c:v>
                </c:pt>
                <c:pt idx="22" formatCode="_(* #,##0_);_(* \(#,##0\);_(* &quot;-&quot;??_);_(@_)">
                  <c:v>8</c:v>
                </c:pt>
                <c:pt idx="23" formatCode="_(* #,##0_);_(* \(#,##0\);_(* &quot;-&quot;??_);_(@_)">
                  <c:v>9</c:v>
                </c:pt>
                <c:pt idx="24" formatCode="_(* #,##0_);_(* \(#,##0\);_(* &quot;-&quot;??_);_(@_)">
                  <c:v>10</c:v>
                </c:pt>
                <c:pt idx="25" formatCode="_(* #,##0_);_(* \(#,##0\);_(* &quot;-&quot;??_);_(@_)">
                  <c:v>11</c:v>
                </c:pt>
                <c:pt idx="26" formatCode="_(* #,##0_);_(* \(#,##0\);_(* &quot;-&quot;??_);_(@_)">
                  <c:v>12</c:v>
                </c:pt>
                <c:pt idx="27" formatCode="_(* #,##0_);_(* \(#,##0\);_(* &quot;-&quot;??_);_(@_)">
                  <c:v>15</c:v>
                </c:pt>
                <c:pt idx="28" formatCode="_(* #,##0_);_(* \(#,##0\);_(* &quot;-&quot;??_);_(@_)">
                  <c:v>20</c:v>
                </c:pt>
                <c:pt idx="29" formatCode="_(* #,##0_);_(* \(#,##0\);_(* &quot;-&quot;??_);_(@_)">
                  <c:v>25</c:v>
                </c:pt>
                <c:pt idx="30" formatCode="_(* #,##0_);_(* \(#,##0\);_(* &quot;-&quot;??_);_(@_)">
                  <c:v>30</c:v>
                </c:pt>
                <c:pt idx="31" formatCode="_(* #,##0_);_(* \(#,##0\);_(* &quot;-&quot;??_);_(@_)">
                  <c:v>40</c:v>
                </c:pt>
                <c:pt idx="32" formatCode="_(* #,##0_);_(* \(#,##0\);_(* &quot;-&quot;??_);_(@_)">
                  <c:v>50</c:v>
                </c:pt>
              </c:numCache>
            </c:numRef>
          </c:xVal>
          <c:yVal>
            <c:numRef>
              <c:f>'discount curve stripping'!$D$5:$D$37</c:f>
              <c:numCache>
                <c:formatCode>_(* #,##0.0000_);_(* \(#,##0.0000\);_(* "-"??_);_(@_)</c:formatCode>
                <c:ptCount val="33"/>
                <c:pt idx="0">
                  <c:v>1.403</c:v>
                </c:pt>
                <c:pt idx="1">
                  <c:v>1.4046000000000001</c:v>
                </c:pt>
                <c:pt idx="2">
                  <c:v>1.405</c:v>
                </c:pt>
                <c:pt idx="3">
                  <c:v>1.5916999999999999</c:v>
                </c:pt>
                <c:pt idx="4">
                  <c:v>1.82</c:v>
                </c:pt>
                <c:pt idx="5">
                  <c:v>1.9765999999999999</c:v>
                </c:pt>
                <c:pt idx="6">
                  <c:v>2.12</c:v>
                </c:pt>
                <c:pt idx="7">
                  <c:v>2.2360000000000002</c:v>
                </c:pt>
                <c:pt idx="8">
                  <c:v>2.3422999999999998</c:v>
                </c:pt>
                <c:pt idx="9">
                  <c:v>2.4235000000000002</c:v>
                </c:pt>
                <c:pt idx="10">
                  <c:v>2.4900000000000002</c:v>
                </c:pt>
                <c:pt idx="11">
                  <c:v>2.544</c:v>
                </c:pt>
                <c:pt idx="12">
                  <c:v>2.5859000000000001</c:v>
                </c:pt>
                <c:pt idx="13">
                  <c:v>2.6219999999999999</c:v>
                </c:pt>
                <c:pt idx="14">
                  <c:v>2.6469999999999998</c:v>
                </c:pt>
                <c:pt idx="15">
                  <c:v>2.7012999999999998</c:v>
                </c:pt>
                <c:pt idx="16">
                  <c:v>2.6840000000000002</c:v>
                </c:pt>
                <c:pt idx="17">
                  <c:v>2.5848</c:v>
                </c:pt>
                <c:pt idx="18">
                  <c:v>2.5030000000000001</c:v>
                </c:pt>
                <c:pt idx="19">
                  <c:v>2.4588000000000001</c:v>
                </c:pt>
                <c:pt idx="20">
                  <c:v>2.4302999999999999</c:v>
                </c:pt>
                <c:pt idx="21">
                  <c:v>2.4173</c:v>
                </c:pt>
                <c:pt idx="22">
                  <c:v>2.4188000000000001</c:v>
                </c:pt>
                <c:pt idx="23">
                  <c:v>2.4300000000000002</c:v>
                </c:pt>
                <c:pt idx="24">
                  <c:v>2.4453</c:v>
                </c:pt>
                <c:pt idx="25">
                  <c:v>2.4607999999999999</c:v>
                </c:pt>
                <c:pt idx="26">
                  <c:v>2.4704999999999999</c:v>
                </c:pt>
                <c:pt idx="27">
                  <c:v>2.4609999999999999</c:v>
                </c:pt>
                <c:pt idx="28">
                  <c:v>2.3268</c:v>
                </c:pt>
                <c:pt idx="29">
                  <c:v>2.1617999999999999</c:v>
                </c:pt>
                <c:pt idx="30">
                  <c:v>2.0150000000000001</c:v>
                </c:pt>
                <c:pt idx="31">
                  <c:v>1.8152999999999999</c:v>
                </c:pt>
                <c:pt idx="32">
                  <c:v>1.7919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58-4D70-ACD5-984F37766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231999"/>
        <c:axId val="735231583"/>
      </c:scatterChart>
      <c:valAx>
        <c:axId val="735231999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231583"/>
        <c:crosses val="autoZero"/>
        <c:crossBetween val="midCat"/>
      </c:valAx>
      <c:valAx>
        <c:axId val="735231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2319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</a:t>
            </a:r>
            <a:r>
              <a:rPr lang="en-US" baseline="0"/>
              <a:t> rate (derived)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'discount curve stripping'!$H$6:$H$35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'discount curve stripping'!$K$6:$K$35</c:f>
              <c:numCache>
                <c:formatCode>_(* #,##0.0000_);_(* \(#,##0.0000\);_(* "-"??_);_(@_)</c:formatCode>
                <c:ptCount val="30"/>
                <c:pt idx="0">
                  <c:v>2.6470000000000016</c:v>
                </c:pt>
                <c:pt idx="1">
                  <c:v>2.6840000000000024</c:v>
                </c:pt>
                <c:pt idx="2">
                  <c:v>2.5847999999999978</c:v>
                </c:pt>
                <c:pt idx="3">
                  <c:v>2.5030000000000014</c:v>
                </c:pt>
                <c:pt idx="4">
                  <c:v>2.4588000000000005</c:v>
                </c:pt>
                <c:pt idx="5">
                  <c:v>2.4302999999999999</c:v>
                </c:pt>
                <c:pt idx="6">
                  <c:v>2.4172999999999991</c:v>
                </c:pt>
                <c:pt idx="7">
                  <c:v>2.4187999999999983</c:v>
                </c:pt>
                <c:pt idx="8">
                  <c:v>2.4299999999999993</c:v>
                </c:pt>
                <c:pt idx="9">
                  <c:v>2.4452999999999987</c:v>
                </c:pt>
                <c:pt idx="10">
                  <c:v>2.4607999999999994</c:v>
                </c:pt>
                <c:pt idx="11">
                  <c:v>2.4704999999999986</c:v>
                </c:pt>
                <c:pt idx="12">
                  <c:v>2.4668434738497358</c:v>
                </c:pt>
                <c:pt idx="13">
                  <c:v>2.463711693256847</c:v>
                </c:pt>
                <c:pt idx="14">
                  <c:v>2.460999999999999</c:v>
                </c:pt>
                <c:pt idx="15">
                  <c:v>2.4276485422968395</c:v>
                </c:pt>
                <c:pt idx="16">
                  <c:v>2.3981067188395144</c:v>
                </c:pt>
                <c:pt idx="17">
                  <c:v>2.3717611750146501</c:v>
                </c:pt>
                <c:pt idx="18">
                  <c:v>2.3481235102907716</c:v>
                </c:pt>
                <c:pt idx="19">
                  <c:v>2.3267999999999995</c:v>
                </c:pt>
                <c:pt idx="20">
                  <c:v>2.2879132776653757</c:v>
                </c:pt>
                <c:pt idx="21">
                  <c:v>2.2523439717591689</c:v>
                </c:pt>
                <c:pt idx="22">
                  <c:v>2.2196876257025324</c:v>
                </c:pt>
                <c:pt idx="23">
                  <c:v>2.1896029599558826</c:v>
                </c:pt>
                <c:pt idx="24">
                  <c:v>2.1617999999999991</c:v>
                </c:pt>
                <c:pt idx="25">
                  <c:v>2.1305193370709743</c:v>
                </c:pt>
                <c:pt idx="26">
                  <c:v>2.1014006096574644</c:v>
                </c:pt>
                <c:pt idx="27">
                  <c:v>2.0742288506682551</c:v>
                </c:pt>
                <c:pt idx="28">
                  <c:v>2.0488166764602278</c:v>
                </c:pt>
                <c:pt idx="29">
                  <c:v>2.0250000000859756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42-4A95-BE85-A04BB0321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414575"/>
        <c:axId val="907407503"/>
      </c:scatterChart>
      <c:valAx>
        <c:axId val="907414575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407503"/>
        <c:crosses val="autoZero"/>
        <c:crossBetween val="midCat"/>
      </c:valAx>
      <c:valAx>
        <c:axId val="90740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4145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1yr fwd rate (derived)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'discount curve stripping'!$Q$4</c:f>
              <c:strCache>
                <c:ptCount val="1"/>
                <c:pt idx="0">
                  <c:v>1yr fwd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'discount curve stripping'!$H$5:$H$35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'discount curve stripping'!$Q$5:$Q$35</c:f>
              <c:numCache>
                <c:formatCode>0.0000%</c:formatCode>
                <c:ptCount val="31"/>
                <c:pt idx="0">
                  <c:v>2.6470000000000014E-2</c:v>
                </c:pt>
                <c:pt idx="1">
                  <c:v>2.722020980373082E-2</c:v>
                </c:pt>
                <c:pt idx="2">
                  <c:v>2.3788206089248351E-2</c:v>
                </c:pt>
                <c:pt idx="3">
                  <c:v>2.2456349898084579E-2</c:v>
                </c:pt>
                <c:pt idx="4">
                  <c:v>2.2713246188336061E-2</c:v>
                </c:pt>
                <c:pt idx="5">
                  <c:v>2.2774753440924514E-2</c:v>
                </c:pt>
                <c:pt idx="6">
                  <c:v>2.3326385164178454E-2</c:v>
                </c:pt>
                <c:pt idx="7">
                  <c:v>2.4303458545486684E-2</c:v>
                </c:pt>
                <c:pt idx="8">
                  <c:v>2.5299048409862884E-2</c:v>
                </c:pt>
                <c:pt idx="9">
                  <c:v>2.6010767802691653E-2</c:v>
                </c:pt>
                <c:pt idx="10">
                  <c:v>2.6387472452082922E-2</c:v>
                </c:pt>
                <c:pt idx="11">
                  <c:v>2.5947428515861293E-2</c:v>
                </c:pt>
                <c:pt idx="12">
                  <c:v>2.4151179123362787E-2</c:v>
                </c:pt>
                <c:pt idx="13">
                  <c:v>2.4151179123362676E-2</c:v>
                </c:pt>
                <c:pt idx="14">
                  <c:v>2.4151179123362732E-2</c:v>
                </c:pt>
                <c:pt idx="15">
                  <c:v>1.8190164632784278E-2</c:v>
                </c:pt>
                <c:pt idx="16">
                  <c:v>1.8190164632784223E-2</c:v>
                </c:pt>
                <c:pt idx="17">
                  <c:v>1.8190164632784278E-2</c:v>
                </c:pt>
                <c:pt idx="18">
                  <c:v>1.8190164632784389E-2</c:v>
                </c:pt>
                <c:pt idx="19">
                  <c:v>1.8190164632784334E-2</c:v>
                </c:pt>
                <c:pt idx="20">
                  <c:v>1.3102784786625632E-2</c:v>
                </c:pt>
                <c:pt idx="21">
                  <c:v>1.3102784786625743E-2</c:v>
                </c:pt>
                <c:pt idx="22">
                  <c:v>1.3102784786625965E-2</c:v>
                </c:pt>
                <c:pt idx="23">
                  <c:v>1.3102784786625743E-2</c:v>
                </c:pt>
                <c:pt idx="24">
                  <c:v>1.3102784786625632E-2</c:v>
                </c:pt>
                <c:pt idx="25">
                  <c:v>1.129963230805775E-2</c:v>
                </c:pt>
                <c:pt idx="26">
                  <c:v>1.1299632308057639E-2</c:v>
                </c:pt>
                <c:pt idx="27">
                  <c:v>1.1299632308057639E-2</c:v>
                </c:pt>
                <c:pt idx="28">
                  <c:v>1.1299632308057639E-2</c:v>
                </c:pt>
                <c:pt idx="29">
                  <c:v>1.129963230805775E-2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FA-4186-AA79-5AB2563A7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6739104"/>
        <c:axId val="1826739936"/>
      </c:scatterChart>
      <c:valAx>
        <c:axId val="1826739104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739936"/>
        <c:crosses val="autoZero"/>
        <c:crossBetween val="midCat"/>
      </c:valAx>
      <c:valAx>
        <c:axId val="182673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739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zero rate (derived)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'discount curve stripping'!$R$4</c:f>
              <c:strCache>
                <c:ptCount val="1"/>
                <c:pt idx="0">
                  <c:v>zero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'discount curve stripping'!$H$5:$H$35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'discount curve stripping'!$R$5:$R$35</c:f>
              <c:numCache>
                <c:formatCode>0.0000%</c:formatCode>
                <c:ptCount val="31"/>
                <c:pt idx="1">
                  <c:v>2.6470000000000014E-2</c:v>
                </c:pt>
                <c:pt idx="2">
                  <c:v>2.6845104901865417E-2</c:v>
                </c:pt>
                <c:pt idx="3">
                  <c:v>2.5826138630993062E-2</c:v>
                </c:pt>
                <c:pt idx="4">
                  <c:v>2.4983691447765941E-2</c:v>
                </c:pt>
                <c:pt idx="5">
                  <c:v>2.4529602395879965E-2</c:v>
                </c:pt>
                <c:pt idx="6">
                  <c:v>2.4237127570054057E-2</c:v>
                </c:pt>
                <c:pt idx="7">
                  <c:v>2.4107021512071829E-2</c:v>
                </c:pt>
                <c:pt idx="8">
                  <c:v>2.4131576141248685E-2</c:v>
                </c:pt>
                <c:pt idx="9">
                  <c:v>2.4261295282205816E-2</c:v>
                </c:pt>
                <c:pt idx="10">
                  <c:v>2.4436242534254402E-2</c:v>
                </c:pt>
                <c:pt idx="11">
                  <c:v>2.4613627072238811E-2</c:v>
                </c:pt>
                <c:pt idx="12">
                  <c:v>2.4724777192540685E-2</c:v>
                </c:pt>
                <c:pt idx="13">
                  <c:v>2.4680654264142385E-2</c:v>
                </c:pt>
                <c:pt idx="14">
                  <c:v>2.4642834611229548E-2</c:v>
                </c:pt>
                <c:pt idx="15">
                  <c:v>2.4610057578705095E-2</c:v>
                </c:pt>
                <c:pt idx="16">
                  <c:v>2.4208814269585044E-2</c:v>
                </c:pt>
                <c:pt idx="17">
                  <c:v>2.3854776055655585E-2</c:v>
                </c:pt>
                <c:pt idx="18">
                  <c:v>2.3540075421051621E-2</c:v>
                </c:pt>
                <c:pt idx="19">
                  <c:v>2.3258501169037559E-2</c:v>
                </c:pt>
                <c:pt idx="20">
                  <c:v>2.3005084342224896E-2</c:v>
                </c:pt>
                <c:pt idx="21">
                  <c:v>2.2533546268148741E-2</c:v>
                </c:pt>
                <c:pt idx="22">
                  <c:v>2.2104875291715877E-2</c:v>
                </c:pt>
                <c:pt idx="23">
                  <c:v>2.1713480052364141E-2</c:v>
                </c:pt>
                <c:pt idx="24">
                  <c:v>2.1354701082958377E-2</c:v>
                </c:pt>
                <c:pt idx="25">
                  <c:v>2.1024624431105067E-2</c:v>
                </c:pt>
                <c:pt idx="26">
                  <c:v>2.0650586272526323E-2</c:v>
                </c:pt>
                <c:pt idx="27">
                  <c:v>2.0304254644212667E-2</c:v>
                </c:pt>
                <c:pt idx="28">
                  <c:v>1.9982660989349987E-2</c:v>
                </c:pt>
                <c:pt idx="29">
                  <c:v>1.9683246207236459E-2</c:v>
                </c:pt>
                <c:pt idx="30">
                  <c:v>1.9403792410597167E-2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BD-48A1-BAB6-B094BD6EB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795680"/>
        <c:axId val="358797344"/>
      </c:scatterChart>
      <c:valAx>
        <c:axId val="358795680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797344"/>
        <c:crosses val="autoZero"/>
        <c:crossBetween val="midCat"/>
      </c:valAx>
      <c:valAx>
        <c:axId val="35879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795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7144</xdr:colOff>
      <xdr:row>38</xdr:row>
      <xdr:rowOff>173831</xdr:rowOff>
    </xdr:from>
    <xdr:to>
      <xdr:col>7</xdr:col>
      <xdr:colOff>109538</xdr:colOff>
      <xdr:row>54</xdr:row>
      <xdr:rowOff>21431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82D9D2-3D1B-A4D7-2BE1-A43D36E0A9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197643</xdr:colOff>
      <xdr:row>38</xdr:row>
      <xdr:rowOff>173831</xdr:rowOff>
    </xdr:from>
    <xdr:to>
      <xdr:col>11</xdr:col>
      <xdr:colOff>1116806</xdr:colOff>
      <xdr:row>54</xdr:row>
      <xdr:rowOff>21431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69789FF-FA38-FDD8-925C-793B6476E6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202406</xdr:colOff>
      <xdr:row>55</xdr:row>
      <xdr:rowOff>35719</xdr:rowOff>
    </xdr:from>
    <xdr:to>
      <xdr:col>11</xdr:col>
      <xdr:colOff>1121569</xdr:colOff>
      <xdr:row>70</xdr:row>
      <xdr:rowOff>64294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71CE1E-528F-EA19-AE39-D8232BB0FC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207168</xdr:colOff>
      <xdr:row>71</xdr:row>
      <xdr:rowOff>145256</xdr:rowOff>
    </xdr:from>
    <xdr:to>
      <xdr:col>11</xdr:col>
      <xdr:colOff>1126331</xdr:colOff>
      <xdr:row>86</xdr:row>
      <xdr:rowOff>173831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720B854-170F-8E6E-54B6-662B3B8BE2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B75E-86FE-4A43-AF18-34A54BF24684}">
  <dimension ref="A1:K152"/>
  <sheetViews>
    <sheetView tabSelected="1" topLeftCell="A67" workbookViewId="0">
      <selection activeCell="I134" sqref="I134"/>
    </sheetView>
  </sheetViews>
  <sheetFormatPr defaultRowHeight="14.25" x14ac:dyDescent="0.45"/>
  <cols>
    <col min="2" max="2" width="20" bestFit="1" customWidth="1"/>
    <col min="3" max="3" width="19.3984375" bestFit="1" customWidth="1"/>
    <col min="4" max="5" width="26" bestFit="1" customWidth="1"/>
    <col min="7" max="7" width="16.86328125" bestFit="1" customWidth="1"/>
    <col min="9" max="9" width="11.86328125" bestFit="1" customWidth="1"/>
  </cols>
  <sheetData>
    <row r="1" spans="1:7" x14ac:dyDescent="0.45">
      <c r="B1" t="s">
        <v>87</v>
      </c>
      <c r="C1" s="60">
        <v>1000000000</v>
      </c>
      <c r="G1" t="s">
        <v>93</v>
      </c>
    </row>
    <row r="2" spans="1:7" x14ac:dyDescent="0.45">
      <c r="B2" t="s">
        <v>88</v>
      </c>
      <c r="D2" s="61">
        <v>2.1100000000000001E-2</v>
      </c>
      <c r="E2" s="61">
        <v>2.12E-2</v>
      </c>
      <c r="G2" s="61">
        <v>9.1000000000000004E-3</v>
      </c>
    </row>
    <row r="3" spans="1:7" x14ac:dyDescent="0.45">
      <c r="E3" s="19" t="s">
        <v>97</v>
      </c>
    </row>
    <row r="4" spans="1:7" x14ac:dyDescent="0.45">
      <c r="A4" s="4"/>
      <c r="B4" s="54"/>
      <c r="C4" s="125" t="s">
        <v>90</v>
      </c>
      <c r="D4" s="126"/>
      <c r="E4" s="127"/>
      <c r="F4" s="54"/>
      <c r="G4" s="128" t="s">
        <v>91</v>
      </c>
    </row>
    <row r="5" spans="1:7" x14ac:dyDescent="0.45">
      <c r="A5" s="51" t="s">
        <v>84</v>
      </c>
      <c r="B5" s="53" t="s">
        <v>94</v>
      </c>
      <c r="C5" s="51" t="s">
        <v>89</v>
      </c>
      <c r="D5" s="52" t="str">
        <f>"Float. Equiv. Cashflow @"&amp;TEXT(D2,"0.00%")</f>
        <v>Float. Equiv. Cashflow @2.11%</v>
      </c>
      <c r="E5" s="53" t="str">
        <f>"Float. Equiv. Cashflow @"&amp;TEXT(E2,"0.00%")</f>
        <v>Float. Equiv. Cashflow @2.12%</v>
      </c>
      <c r="F5" s="24"/>
      <c r="G5" s="36" t="s">
        <v>92</v>
      </c>
    </row>
    <row r="6" spans="1:7" x14ac:dyDescent="0.45">
      <c r="A6" s="6">
        <v>0</v>
      </c>
      <c r="B6" s="129">
        <v>44977</v>
      </c>
      <c r="C6" s="116">
        <f>'discount curve stripping'!W5</f>
        <v>1</v>
      </c>
      <c r="D6" s="117"/>
      <c r="E6" s="118"/>
      <c r="F6" s="55"/>
      <c r="G6" s="122"/>
    </row>
    <row r="7" spans="1:7" x14ac:dyDescent="0.45">
      <c r="A7" s="6">
        <v>1</v>
      </c>
      <c r="B7" s="129">
        <f>EDATE($B$6,3*A7)</f>
        <v>45066</v>
      </c>
      <c r="C7" s="116">
        <f>'discount curve stripping'!W6</f>
        <v>0.99340434743476114</v>
      </c>
      <c r="D7" s="117">
        <f t="shared" ref="D7:D70" si="0">$D$2*$C$1/4</f>
        <v>5275000</v>
      </c>
      <c r="E7" s="118">
        <f t="shared" ref="E7:E70" si="1">$E$2*$C$1/4</f>
        <v>5300000</v>
      </c>
      <c r="F7" s="55"/>
      <c r="G7" s="122"/>
    </row>
    <row r="8" spans="1:7" x14ac:dyDescent="0.45">
      <c r="A8" s="6">
        <v>2</v>
      </c>
      <c r="B8" s="129">
        <f t="shared" ref="B8:B71" si="2">EDATE($B$6,3*A8)</f>
        <v>45158</v>
      </c>
      <c r="C8" s="116">
        <f>'discount curve stripping'!W7</f>
        <v>0.98685219750228359</v>
      </c>
      <c r="D8" s="117">
        <f t="shared" si="0"/>
        <v>5275000</v>
      </c>
      <c r="E8" s="118">
        <f t="shared" si="1"/>
        <v>5300000</v>
      </c>
      <c r="F8" s="55"/>
      <c r="G8" s="123">
        <f>$G$2*$C$1/2</f>
        <v>4550000</v>
      </c>
    </row>
    <row r="9" spans="1:7" x14ac:dyDescent="0.45">
      <c r="A9" s="6">
        <v>3</v>
      </c>
      <c r="B9" s="129">
        <f t="shared" si="2"/>
        <v>45250</v>
      </c>
      <c r="C9" s="116">
        <f>'discount curve stripping'!W8</f>
        <v>0.98034326327431598</v>
      </c>
      <c r="D9" s="117">
        <f t="shared" si="0"/>
        <v>5275000</v>
      </c>
      <c r="E9" s="118">
        <f t="shared" si="1"/>
        <v>5300000</v>
      </c>
      <c r="F9" s="55"/>
      <c r="G9" s="122"/>
    </row>
    <row r="10" spans="1:7" x14ac:dyDescent="0.45">
      <c r="A10" s="6">
        <v>4</v>
      </c>
      <c r="B10" s="129">
        <f t="shared" si="2"/>
        <v>45342</v>
      </c>
      <c r="C10" s="116">
        <f>'discount curve stripping'!W9</f>
        <v>0.9738772597150861</v>
      </c>
      <c r="D10" s="117">
        <f t="shared" si="0"/>
        <v>5275000</v>
      </c>
      <c r="E10" s="118">
        <f t="shared" si="1"/>
        <v>5300000</v>
      </c>
      <c r="F10" s="55"/>
      <c r="G10" s="123">
        <f>$G$2*$C$1/2</f>
        <v>4550000</v>
      </c>
    </row>
    <row r="11" spans="1:7" x14ac:dyDescent="0.45">
      <c r="A11" s="6">
        <v>5</v>
      </c>
      <c r="B11" s="129">
        <f t="shared" si="2"/>
        <v>45432</v>
      </c>
      <c r="C11" s="116">
        <f>'discount curve stripping'!W10</f>
        <v>0.96727247233249869</v>
      </c>
      <c r="D11" s="117">
        <f t="shared" si="0"/>
        <v>5275000</v>
      </c>
      <c r="E11" s="118">
        <f t="shared" si="1"/>
        <v>5300000</v>
      </c>
      <c r="F11" s="55"/>
      <c r="G11" s="122"/>
    </row>
    <row r="12" spans="1:7" x14ac:dyDescent="0.45">
      <c r="A12" s="6">
        <v>6</v>
      </c>
      <c r="B12" s="129">
        <f t="shared" si="2"/>
        <v>45524</v>
      </c>
      <c r="C12" s="116">
        <f>'discount curve stripping'!W11</f>
        <v>0.96071247829109885</v>
      </c>
      <c r="D12" s="117">
        <f t="shared" si="0"/>
        <v>5275000</v>
      </c>
      <c r="E12" s="118">
        <f t="shared" si="1"/>
        <v>5300000</v>
      </c>
      <c r="F12" s="55"/>
      <c r="G12" s="123">
        <f>$G$2*$C$1/2</f>
        <v>4550000</v>
      </c>
    </row>
    <row r="13" spans="1:7" x14ac:dyDescent="0.45">
      <c r="A13" s="6">
        <v>7</v>
      </c>
      <c r="B13" s="129">
        <f t="shared" si="2"/>
        <v>45616</v>
      </c>
      <c r="C13" s="116">
        <f>'discount curve stripping'!W12</f>
        <v>0.95419697380466317</v>
      </c>
      <c r="D13" s="117">
        <f t="shared" si="0"/>
        <v>5275000</v>
      </c>
      <c r="E13" s="118">
        <f t="shared" si="1"/>
        <v>5300000</v>
      </c>
      <c r="F13" s="55"/>
      <c r="G13" s="122"/>
    </row>
    <row r="14" spans="1:7" x14ac:dyDescent="0.45">
      <c r="A14" s="6">
        <v>8</v>
      </c>
      <c r="B14" s="129">
        <f t="shared" si="2"/>
        <v>45708</v>
      </c>
      <c r="C14" s="116">
        <f>'discount curve stripping'!W13</f>
        <v>0.94772565714723156</v>
      </c>
      <c r="D14" s="117">
        <f t="shared" si="0"/>
        <v>5275000</v>
      </c>
      <c r="E14" s="118">
        <f t="shared" si="1"/>
        <v>5300000</v>
      </c>
      <c r="F14" s="55"/>
      <c r="G14" s="123">
        <f>$G$2*$C$1/2</f>
        <v>4550000</v>
      </c>
    </row>
    <row r="15" spans="1:7" x14ac:dyDescent="0.45">
      <c r="A15" s="6">
        <v>9</v>
      </c>
      <c r="B15" s="129">
        <f t="shared" si="2"/>
        <v>45797</v>
      </c>
      <c r="C15" s="116">
        <f>'discount curve stripping'!W14</f>
        <v>0.94210620996821359</v>
      </c>
      <c r="D15" s="117">
        <f t="shared" si="0"/>
        <v>5275000</v>
      </c>
      <c r="E15" s="118">
        <f t="shared" si="1"/>
        <v>5300000</v>
      </c>
      <c r="F15" s="55"/>
      <c r="G15" s="122"/>
    </row>
    <row r="16" spans="1:7" x14ac:dyDescent="0.45">
      <c r="A16" s="6">
        <v>10</v>
      </c>
      <c r="B16" s="129">
        <f t="shared" si="2"/>
        <v>45889</v>
      </c>
      <c r="C16" s="116">
        <f>'discount curve stripping'!W15</f>
        <v>0.93652008275511578</v>
      </c>
      <c r="D16" s="117">
        <f t="shared" si="0"/>
        <v>5275000</v>
      </c>
      <c r="E16" s="118">
        <f t="shared" si="1"/>
        <v>5300000</v>
      </c>
      <c r="F16" s="55"/>
      <c r="G16" s="123">
        <f>$G$2*$C$1/2</f>
        <v>4550000</v>
      </c>
    </row>
    <row r="17" spans="1:7" x14ac:dyDescent="0.45">
      <c r="A17" s="6">
        <v>11</v>
      </c>
      <c r="B17" s="129">
        <f t="shared" si="2"/>
        <v>45981</v>
      </c>
      <c r="C17" s="116">
        <f>'discount curve stripping'!W16</f>
        <v>0.93096707794043843</v>
      </c>
      <c r="D17" s="117">
        <f t="shared" si="0"/>
        <v>5275000</v>
      </c>
      <c r="E17" s="118">
        <f t="shared" si="1"/>
        <v>5300000</v>
      </c>
      <c r="F17" s="55"/>
      <c r="G17" s="122"/>
    </row>
    <row r="18" spans="1:7" x14ac:dyDescent="0.45">
      <c r="A18" s="6">
        <v>12</v>
      </c>
      <c r="B18" s="129">
        <f t="shared" si="2"/>
        <v>46073</v>
      </c>
      <c r="C18" s="116">
        <f>'discount curve stripping'!W17</f>
        <v>0.92544699912813899</v>
      </c>
      <c r="D18" s="117">
        <f t="shared" si="0"/>
        <v>5275000</v>
      </c>
      <c r="E18" s="118">
        <f t="shared" si="1"/>
        <v>5300000</v>
      </c>
      <c r="F18" s="55"/>
      <c r="G18" s="123">
        <f>$G$2*$C$1/2</f>
        <v>4550000</v>
      </c>
    </row>
    <row r="19" spans="1:7" x14ac:dyDescent="0.45">
      <c r="A19" s="6">
        <v>13</v>
      </c>
      <c r="B19" s="129">
        <f t="shared" si="2"/>
        <v>46162</v>
      </c>
      <c r="C19" s="116">
        <f>'discount curve stripping'!W18</f>
        <v>0.92026601557726662</v>
      </c>
      <c r="D19" s="117">
        <f t="shared" si="0"/>
        <v>5275000</v>
      </c>
      <c r="E19" s="118">
        <f t="shared" si="1"/>
        <v>5300000</v>
      </c>
      <c r="F19" s="55"/>
      <c r="G19" s="122"/>
    </row>
    <row r="20" spans="1:7" x14ac:dyDescent="0.45">
      <c r="A20" s="6">
        <v>14</v>
      </c>
      <c r="B20" s="129">
        <f t="shared" si="2"/>
        <v>46254</v>
      </c>
      <c r="C20" s="116">
        <f>'discount curve stripping'!W19</f>
        <v>0.91511403702676664</v>
      </c>
      <c r="D20" s="117">
        <f t="shared" si="0"/>
        <v>5275000</v>
      </c>
      <c r="E20" s="118">
        <f t="shared" si="1"/>
        <v>5300000</v>
      </c>
      <c r="F20" s="55"/>
      <c r="G20" s="123">
        <f>$G$2*$C$1/2</f>
        <v>4550000</v>
      </c>
    </row>
    <row r="21" spans="1:7" x14ac:dyDescent="0.45">
      <c r="A21" s="6">
        <v>15</v>
      </c>
      <c r="B21" s="129">
        <f t="shared" si="2"/>
        <v>46346</v>
      </c>
      <c r="C21" s="116">
        <f>'discount curve stripping'!W20</f>
        <v>0.90999090109626513</v>
      </c>
      <c r="D21" s="117">
        <f t="shared" si="0"/>
        <v>5275000</v>
      </c>
      <c r="E21" s="118">
        <f t="shared" si="1"/>
        <v>5300000</v>
      </c>
      <c r="F21" s="55"/>
      <c r="G21" s="122"/>
    </row>
    <row r="22" spans="1:7" x14ac:dyDescent="0.45">
      <c r="A22" s="6">
        <v>16</v>
      </c>
      <c r="B22" s="129">
        <f t="shared" si="2"/>
        <v>46438</v>
      </c>
      <c r="C22" s="116">
        <f>'discount curve stripping'!W21</f>
        <v>0.90489644631445165</v>
      </c>
      <c r="D22" s="117">
        <f t="shared" si="0"/>
        <v>5275000</v>
      </c>
      <c r="E22" s="118">
        <f t="shared" si="1"/>
        <v>5300000</v>
      </c>
      <c r="F22" s="55"/>
      <c r="G22" s="123">
        <f>$G$2*$C$1/2</f>
        <v>4550000</v>
      </c>
    </row>
    <row r="23" spans="1:7" x14ac:dyDescent="0.45">
      <c r="A23" s="6">
        <v>17</v>
      </c>
      <c r="B23" s="129">
        <f t="shared" si="2"/>
        <v>46527</v>
      </c>
      <c r="C23" s="116">
        <f>'discount curve stripping'!W22</f>
        <v>0.89977272318962531</v>
      </c>
      <c r="D23" s="117">
        <f t="shared" si="0"/>
        <v>5275000</v>
      </c>
      <c r="E23" s="118">
        <f t="shared" si="1"/>
        <v>5300000</v>
      </c>
      <c r="F23" s="55"/>
      <c r="G23" s="122"/>
    </row>
    <row r="24" spans="1:7" x14ac:dyDescent="0.45">
      <c r="A24" s="6">
        <v>18</v>
      </c>
      <c r="B24" s="129">
        <f t="shared" si="2"/>
        <v>46619</v>
      </c>
      <c r="C24" s="116">
        <f>'discount curve stripping'!W23</f>
        <v>0.89467801171443784</v>
      </c>
      <c r="D24" s="117">
        <f t="shared" si="0"/>
        <v>5275000</v>
      </c>
      <c r="E24" s="118">
        <f t="shared" si="1"/>
        <v>5300000</v>
      </c>
      <c r="F24" s="55"/>
      <c r="G24" s="123">
        <f>$G$2*$C$1/2</f>
        <v>4550000</v>
      </c>
    </row>
    <row r="25" spans="1:7" x14ac:dyDescent="0.45">
      <c r="A25" s="6">
        <v>19</v>
      </c>
      <c r="B25" s="129">
        <f t="shared" si="2"/>
        <v>46711</v>
      </c>
      <c r="C25" s="116">
        <f>'discount curve stripping'!W24</f>
        <v>0.88961214761853458</v>
      </c>
      <c r="D25" s="117">
        <f t="shared" si="0"/>
        <v>5275000</v>
      </c>
      <c r="E25" s="118">
        <f t="shared" si="1"/>
        <v>5300000</v>
      </c>
      <c r="F25" s="55"/>
      <c r="G25" s="122"/>
    </row>
    <row r="26" spans="1:7" x14ac:dyDescent="0.45">
      <c r="A26" s="6">
        <v>20</v>
      </c>
      <c r="B26" s="129">
        <f t="shared" si="2"/>
        <v>46803</v>
      </c>
      <c r="C26" s="116">
        <f>'discount curve stripping'!W25</f>
        <v>0.88457496756169574</v>
      </c>
      <c r="D26" s="117">
        <f t="shared" si="0"/>
        <v>5275000</v>
      </c>
      <c r="E26" s="118">
        <f t="shared" si="1"/>
        <v>5300000</v>
      </c>
      <c r="F26" s="55"/>
      <c r="G26" s="123">
        <f>$G$2*$C$1/2</f>
        <v>4550000</v>
      </c>
    </row>
    <row r="27" spans="1:7" x14ac:dyDescent="0.45">
      <c r="A27" s="6">
        <v>21</v>
      </c>
      <c r="B27" s="129">
        <f t="shared" si="2"/>
        <v>46893</v>
      </c>
      <c r="C27" s="116">
        <f>'discount curve stripping'!W26</f>
        <v>0.87955278430576866</v>
      </c>
      <c r="D27" s="117">
        <f t="shared" si="0"/>
        <v>5275000</v>
      </c>
      <c r="E27" s="118">
        <f t="shared" si="1"/>
        <v>5300000</v>
      </c>
      <c r="F27" s="55"/>
      <c r="G27" s="122"/>
    </row>
    <row r="28" spans="1:7" x14ac:dyDescent="0.45">
      <c r="A28" s="6">
        <v>22</v>
      </c>
      <c r="B28" s="129">
        <f t="shared" si="2"/>
        <v>46985</v>
      </c>
      <c r="C28" s="116">
        <f>'discount curve stripping'!W27</f>
        <v>0.87455911454567981</v>
      </c>
      <c r="D28" s="117">
        <f t="shared" si="0"/>
        <v>5275000</v>
      </c>
      <c r="E28" s="118">
        <f t="shared" si="1"/>
        <v>5300000</v>
      </c>
      <c r="F28" s="55"/>
      <c r="G28" s="123">
        <f>$G$2*$C$1/2</f>
        <v>4550000</v>
      </c>
    </row>
    <row r="29" spans="1:7" x14ac:dyDescent="0.45">
      <c r="A29" s="6">
        <v>23</v>
      </c>
      <c r="B29" s="129">
        <f t="shared" si="2"/>
        <v>47077</v>
      </c>
      <c r="C29" s="116">
        <f>'discount curve stripping'!W28</f>
        <v>0.86959379639577028</v>
      </c>
      <c r="D29" s="117">
        <f t="shared" si="0"/>
        <v>5275000</v>
      </c>
      <c r="E29" s="118">
        <f t="shared" si="1"/>
        <v>5300000</v>
      </c>
      <c r="F29" s="55"/>
      <c r="G29" s="122"/>
    </row>
    <row r="30" spans="1:7" x14ac:dyDescent="0.45">
      <c r="A30" s="6">
        <v>24</v>
      </c>
      <c r="B30" s="129">
        <f t="shared" si="2"/>
        <v>47169</v>
      </c>
      <c r="C30" s="116">
        <f>'discount curve stripping'!W29</f>
        <v>0.86465666888948889</v>
      </c>
      <c r="D30" s="117">
        <f t="shared" si="0"/>
        <v>5275000</v>
      </c>
      <c r="E30" s="118">
        <f t="shared" si="1"/>
        <v>5300000</v>
      </c>
      <c r="F30" s="55"/>
      <c r="G30" s="123">
        <f>$G$2*$C$1/2</f>
        <v>4550000</v>
      </c>
    </row>
    <row r="31" spans="1:7" x14ac:dyDescent="0.45">
      <c r="A31" s="6">
        <v>25</v>
      </c>
      <c r="B31" s="129">
        <f t="shared" si="2"/>
        <v>47258</v>
      </c>
      <c r="C31" s="116">
        <f>'discount curve stripping'!W30</f>
        <v>0.85962901414072113</v>
      </c>
      <c r="D31" s="117">
        <f t="shared" si="0"/>
        <v>5275000</v>
      </c>
      <c r="E31" s="118">
        <f t="shared" si="1"/>
        <v>5300000</v>
      </c>
      <c r="F31" s="55"/>
      <c r="G31" s="122"/>
    </row>
    <row r="32" spans="1:7" x14ac:dyDescent="0.45">
      <c r="A32" s="6">
        <v>26</v>
      </c>
      <c r="B32" s="129">
        <f t="shared" si="2"/>
        <v>47350</v>
      </c>
      <c r="C32" s="116">
        <f>'discount curve stripping'!W31</f>
        <v>0.85463059332165325</v>
      </c>
      <c r="D32" s="117">
        <f t="shared" si="0"/>
        <v>5275000</v>
      </c>
      <c r="E32" s="118">
        <f t="shared" si="1"/>
        <v>5300000</v>
      </c>
      <c r="F32" s="55"/>
      <c r="G32" s="123">
        <f>$G$2*$C$1/2</f>
        <v>4550000</v>
      </c>
    </row>
    <row r="33" spans="1:7" x14ac:dyDescent="0.45">
      <c r="A33" s="6">
        <v>27</v>
      </c>
      <c r="B33" s="129">
        <f t="shared" si="2"/>
        <v>47442</v>
      </c>
      <c r="C33" s="116">
        <f>'discount curve stripping'!W32</f>
        <v>0.8496612364479309</v>
      </c>
      <c r="D33" s="117">
        <f t="shared" si="0"/>
        <v>5275000</v>
      </c>
      <c r="E33" s="118">
        <f t="shared" si="1"/>
        <v>5300000</v>
      </c>
      <c r="F33" s="55"/>
      <c r="G33" s="122"/>
    </row>
    <row r="34" spans="1:7" x14ac:dyDescent="0.45">
      <c r="A34" s="6">
        <v>28</v>
      </c>
      <c r="B34" s="129">
        <f t="shared" si="2"/>
        <v>47534</v>
      </c>
      <c r="C34" s="116">
        <f>'discount curve stripping'!W33</f>
        <v>0.8447207745235954</v>
      </c>
      <c r="D34" s="117">
        <f t="shared" si="0"/>
        <v>5275000</v>
      </c>
      <c r="E34" s="118">
        <f t="shared" si="1"/>
        <v>5300000</v>
      </c>
      <c r="F34" s="55"/>
      <c r="G34" s="123">
        <f>$G$2*$C$1/2</f>
        <v>4550000</v>
      </c>
    </row>
    <row r="35" spans="1:7" x14ac:dyDescent="0.45">
      <c r="A35" s="6">
        <v>29</v>
      </c>
      <c r="B35" s="129">
        <f t="shared" si="2"/>
        <v>47623</v>
      </c>
      <c r="C35" s="116">
        <f>'discount curve stripping'!W34</f>
        <v>0.83960392582327137</v>
      </c>
      <c r="D35" s="117">
        <f t="shared" si="0"/>
        <v>5275000</v>
      </c>
      <c r="E35" s="118">
        <f t="shared" si="1"/>
        <v>5300000</v>
      </c>
      <c r="F35" s="55"/>
      <c r="G35" s="122"/>
    </row>
    <row r="36" spans="1:7" x14ac:dyDescent="0.45">
      <c r="A36" s="6">
        <v>30</v>
      </c>
      <c r="B36" s="129">
        <f t="shared" si="2"/>
        <v>47715</v>
      </c>
      <c r="C36" s="116">
        <f>'discount curve stripping'!W35</f>
        <v>0.83451807214687923</v>
      </c>
      <c r="D36" s="117">
        <f t="shared" si="0"/>
        <v>5275000</v>
      </c>
      <c r="E36" s="118">
        <f t="shared" si="1"/>
        <v>5300000</v>
      </c>
      <c r="F36" s="55"/>
      <c r="G36" s="123">
        <f>$G$2*$C$1/2</f>
        <v>4550000</v>
      </c>
    </row>
    <row r="37" spans="1:7" x14ac:dyDescent="0.45">
      <c r="A37" s="6">
        <v>31</v>
      </c>
      <c r="B37" s="129">
        <f t="shared" si="2"/>
        <v>47807</v>
      </c>
      <c r="C37" s="116">
        <f>'discount curve stripping'!W36</f>
        <v>0.82946302574380015</v>
      </c>
      <c r="D37" s="117">
        <f t="shared" si="0"/>
        <v>5275000</v>
      </c>
      <c r="E37" s="118">
        <f t="shared" si="1"/>
        <v>5300000</v>
      </c>
      <c r="F37" s="55"/>
      <c r="G37" s="122"/>
    </row>
    <row r="38" spans="1:7" x14ac:dyDescent="0.45">
      <c r="A38" s="6">
        <v>32</v>
      </c>
      <c r="B38" s="129">
        <f t="shared" si="2"/>
        <v>47899</v>
      </c>
      <c r="C38" s="116">
        <f>'discount curve stripping'!W37</f>
        <v>0.82443860000070457</v>
      </c>
      <c r="D38" s="117">
        <f t="shared" si="0"/>
        <v>5275000</v>
      </c>
      <c r="E38" s="118">
        <f t="shared" si="1"/>
        <v>5300000</v>
      </c>
      <c r="F38" s="55"/>
      <c r="G38" s="123">
        <f>$G$2*$C$1/2</f>
        <v>4550000</v>
      </c>
    </row>
    <row r="39" spans="1:7" x14ac:dyDescent="0.45">
      <c r="A39" s="6">
        <v>33</v>
      </c>
      <c r="B39" s="129">
        <f t="shared" si="2"/>
        <v>47988</v>
      </c>
      <c r="C39" s="116">
        <f>'discount curve stripping'!W38</f>
        <v>0.8192406771279398</v>
      </c>
      <c r="D39" s="117">
        <f t="shared" si="0"/>
        <v>5275000</v>
      </c>
      <c r="E39" s="118">
        <f t="shared" si="1"/>
        <v>5300000</v>
      </c>
      <c r="F39" s="55"/>
      <c r="G39" s="122"/>
    </row>
    <row r="40" spans="1:7" x14ac:dyDescent="0.45">
      <c r="A40" s="6">
        <v>34</v>
      </c>
      <c r="B40" s="129">
        <f t="shared" si="2"/>
        <v>48080</v>
      </c>
      <c r="C40" s="116">
        <f>'discount curve stripping'!W39</f>
        <v>0.81407552613435585</v>
      </c>
      <c r="D40" s="117">
        <f t="shared" si="0"/>
        <v>5275000</v>
      </c>
      <c r="E40" s="118">
        <f t="shared" si="1"/>
        <v>5300000</v>
      </c>
      <c r="F40" s="55"/>
      <c r="G40" s="123">
        <f>$G$2*$C$1/2</f>
        <v>4550000</v>
      </c>
    </row>
    <row r="41" spans="1:7" x14ac:dyDescent="0.45">
      <c r="A41" s="6">
        <v>35</v>
      </c>
      <c r="B41" s="129">
        <f t="shared" si="2"/>
        <v>48172</v>
      </c>
      <c r="C41" s="116">
        <f>'discount curve stripping'!W40</f>
        <v>0.80894294039971404</v>
      </c>
      <c r="D41" s="117">
        <f t="shared" si="0"/>
        <v>5275000</v>
      </c>
      <c r="E41" s="118">
        <f t="shared" si="1"/>
        <v>5300000</v>
      </c>
      <c r="F41" s="55"/>
      <c r="G41" s="122"/>
    </row>
    <row r="42" spans="1:7" x14ac:dyDescent="0.45">
      <c r="A42" s="6">
        <v>36</v>
      </c>
      <c r="B42" s="129">
        <f t="shared" si="2"/>
        <v>48264</v>
      </c>
      <c r="C42" s="116">
        <f>'discount curve stripping'!W41</f>
        <v>0.80384271460647527</v>
      </c>
      <c r="D42" s="117">
        <f t="shared" si="0"/>
        <v>5275000</v>
      </c>
      <c r="E42" s="118">
        <f t="shared" si="1"/>
        <v>5300000</v>
      </c>
      <c r="F42" s="55"/>
      <c r="G42" s="123">
        <f>$G$2*$C$1/2</f>
        <v>4550000</v>
      </c>
    </row>
    <row r="43" spans="1:7" x14ac:dyDescent="0.45">
      <c r="A43" s="6">
        <v>37</v>
      </c>
      <c r="B43" s="129">
        <f t="shared" si="2"/>
        <v>48354</v>
      </c>
      <c r="C43" s="116">
        <f>'discount curve stripping'!W42</f>
        <v>0.79863253152376423</v>
      </c>
      <c r="D43" s="117">
        <f t="shared" si="0"/>
        <v>5275000</v>
      </c>
      <c r="E43" s="118">
        <f t="shared" si="1"/>
        <v>5300000</v>
      </c>
      <c r="F43" s="55"/>
      <c r="G43" s="122"/>
    </row>
    <row r="44" spans="1:7" x14ac:dyDescent="0.45">
      <c r="A44" s="6">
        <v>38</v>
      </c>
      <c r="B44" s="129">
        <f t="shared" si="2"/>
        <v>48446</v>
      </c>
      <c r="C44" s="116">
        <f>'discount curve stripping'!W43</f>
        <v>0.79345611873872723</v>
      </c>
      <c r="D44" s="117">
        <f t="shared" si="0"/>
        <v>5275000</v>
      </c>
      <c r="E44" s="118">
        <f t="shared" si="1"/>
        <v>5300000</v>
      </c>
      <c r="F44" s="55"/>
      <c r="G44" s="123">
        <f>$G$2*$C$1/2</f>
        <v>4550000</v>
      </c>
    </row>
    <row r="45" spans="1:7" x14ac:dyDescent="0.45">
      <c r="A45" s="6">
        <v>39</v>
      </c>
      <c r="B45" s="129">
        <f t="shared" si="2"/>
        <v>48538</v>
      </c>
      <c r="C45" s="116">
        <f>'discount curve stripping'!W44</f>
        <v>0.78831325736596491</v>
      </c>
      <c r="D45" s="117">
        <f t="shared" si="0"/>
        <v>5275000</v>
      </c>
      <c r="E45" s="118">
        <f t="shared" si="1"/>
        <v>5300000</v>
      </c>
      <c r="F45" s="55"/>
      <c r="G45" s="122"/>
    </row>
    <row r="46" spans="1:7" x14ac:dyDescent="0.45">
      <c r="A46" s="6">
        <v>40</v>
      </c>
      <c r="B46" s="129">
        <f t="shared" si="2"/>
        <v>48630</v>
      </c>
      <c r="C46" s="116">
        <f>'discount curve stripping'!W45</f>
        <v>0.78320372993880438</v>
      </c>
      <c r="D46" s="117">
        <f t="shared" si="0"/>
        <v>5275000</v>
      </c>
      <c r="E46" s="118">
        <f t="shared" si="1"/>
        <v>5300000</v>
      </c>
      <c r="F46" s="55"/>
      <c r="G46" s="123">
        <f>$G$2*$C$1/2</f>
        <v>4550000</v>
      </c>
    </row>
    <row r="47" spans="1:7" x14ac:dyDescent="0.45">
      <c r="A47" s="6">
        <v>41</v>
      </c>
      <c r="B47" s="129">
        <f t="shared" si="2"/>
        <v>48719</v>
      </c>
      <c r="C47" s="116">
        <f>'discount curve stripping'!W46</f>
        <v>0.77805404280580592</v>
      </c>
      <c r="D47" s="117">
        <f t="shared" si="0"/>
        <v>5275000</v>
      </c>
      <c r="E47" s="118">
        <f t="shared" si="1"/>
        <v>5300000</v>
      </c>
      <c r="F47" s="55"/>
      <c r="G47" s="122"/>
    </row>
    <row r="48" spans="1:7" x14ac:dyDescent="0.45">
      <c r="A48" s="6">
        <v>42</v>
      </c>
      <c r="B48" s="129">
        <f t="shared" si="2"/>
        <v>48811</v>
      </c>
      <c r="C48" s="116">
        <f>'discount curve stripping'!W47</f>
        <v>0.77293821567187804</v>
      </c>
      <c r="D48" s="117">
        <f t="shared" si="0"/>
        <v>5275000</v>
      </c>
      <c r="E48" s="118">
        <f t="shared" si="1"/>
        <v>5300000</v>
      </c>
      <c r="F48" s="55"/>
      <c r="G48" s="123">
        <f>$G$2*$C$1/2</f>
        <v>4550000</v>
      </c>
    </row>
    <row r="49" spans="1:7" x14ac:dyDescent="0.45">
      <c r="A49" s="6">
        <v>43</v>
      </c>
      <c r="B49" s="129">
        <f t="shared" si="2"/>
        <v>48903</v>
      </c>
      <c r="C49" s="116">
        <f>'discount curve stripping'!W48</f>
        <v>0.76785602590222601</v>
      </c>
      <c r="D49" s="117">
        <f t="shared" si="0"/>
        <v>5275000</v>
      </c>
      <c r="E49" s="118">
        <f t="shared" si="1"/>
        <v>5300000</v>
      </c>
      <c r="F49" s="55"/>
      <c r="G49" s="122"/>
    </row>
    <row r="50" spans="1:7" x14ac:dyDescent="0.45">
      <c r="A50" s="6">
        <v>44</v>
      </c>
      <c r="B50" s="129">
        <f t="shared" si="2"/>
        <v>48995</v>
      </c>
      <c r="C50" s="116">
        <f>'discount curve stripping'!W49</f>
        <v>0.76280725232591406</v>
      </c>
      <c r="D50" s="117">
        <f t="shared" si="0"/>
        <v>5275000</v>
      </c>
      <c r="E50" s="118">
        <f t="shared" si="1"/>
        <v>5300000</v>
      </c>
      <c r="F50" s="55"/>
      <c r="G50" s="123">
        <f>$G$2*$C$1/2</f>
        <v>4550000</v>
      </c>
    </row>
    <row r="51" spans="1:7" x14ac:dyDescent="0.45">
      <c r="A51" s="6">
        <v>45</v>
      </c>
      <c r="B51" s="129">
        <f t="shared" si="2"/>
        <v>49084</v>
      </c>
      <c r="C51" s="116">
        <f>'discount curve stripping'!W50</f>
        <v>0.75787504521986371</v>
      </c>
      <c r="D51" s="117">
        <f t="shared" si="0"/>
        <v>5275000</v>
      </c>
      <c r="E51" s="118">
        <f t="shared" si="1"/>
        <v>5300000</v>
      </c>
      <c r="F51" s="55"/>
      <c r="G51" s="122"/>
    </row>
    <row r="52" spans="1:7" x14ac:dyDescent="0.45">
      <c r="A52" s="6">
        <v>46</v>
      </c>
      <c r="B52" s="129">
        <f t="shared" si="2"/>
        <v>49176</v>
      </c>
      <c r="C52" s="116">
        <f>'discount curve stripping'!W51</f>
        <v>0.75297472908871277</v>
      </c>
      <c r="D52" s="117">
        <f t="shared" si="0"/>
        <v>5275000</v>
      </c>
      <c r="E52" s="118">
        <f t="shared" si="1"/>
        <v>5300000</v>
      </c>
      <c r="F52" s="55"/>
      <c r="G52" s="123">
        <f>$G$2*$C$1/2</f>
        <v>4550000</v>
      </c>
    </row>
    <row r="53" spans="1:7" x14ac:dyDescent="0.45">
      <c r="A53" s="6">
        <v>47</v>
      </c>
      <c r="B53" s="129">
        <f t="shared" si="2"/>
        <v>49268</v>
      </c>
      <c r="C53" s="116">
        <f>'discount curve stripping'!W52</f>
        <v>0.74810609772978987</v>
      </c>
      <c r="D53" s="117">
        <f t="shared" si="0"/>
        <v>5275000</v>
      </c>
      <c r="E53" s="118">
        <f t="shared" si="1"/>
        <v>5300000</v>
      </c>
      <c r="F53" s="55"/>
      <c r="G53" s="122"/>
    </row>
    <row r="54" spans="1:7" x14ac:dyDescent="0.45">
      <c r="A54" s="6">
        <v>48</v>
      </c>
      <c r="B54" s="129">
        <f t="shared" si="2"/>
        <v>49360</v>
      </c>
      <c r="C54" s="116">
        <f>'discount curve stripping'!W53</f>
        <v>0.74326894627370232</v>
      </c>
      <c r="D54" s="117">
        <f t="shared" si="0"/>
        <v>5275000</v>
      </c>
      <c r="E54" s="118">
        <f t="shared" si="1"/>
        <v>5300000</v>
      </c>
      <c r="F54" s="55"/>
      <c r="G54" s="123">
        <f>$G$2*$C$1/2</f>
        <v>4550000</v>
      </c>
    </row>
    <row r="55" spans="1:7" x14ac:dyDescent="0.45">
      <c r="A55" s="6">
        <v>49</v>
      </c>
      <c r="B55" s="129">
        <f t="shared" si="2"/>
        <v>49449</v>
      </c>
      <c r="C55" s="116">
        <f>'discount curve stripping'!W54</f>
        <v>0.73879476160572755</v>
      </c>
      <c r="D55" s="117">
        <f t="shared" si="0"/>
        <v>5275000</v>
      </c>
      <c r="E55" s="118">
        <f t="shared" si="1"/>
        <v>5300000</v>
      </c>
      <c r="F55" s="55"/>
      <c r="G55" s="122"/>
    </row>
    <row r="56" spans="1:7" x14ac:dyDescent="0.45">
      <c r="A56" s="6">
        <v>50</v>
      </c>
      <c r="B56" s="129">
        <f t="shared" si="2"/>
        <v>49541</v>
      </c>
      <c r="C56" s="116">
        <f>'discount curve stripping'!W55</f>
        <v>0.7343475097573513</v>
      </c>
      <c r="D56" s="117">
        <f t="shared" si="0"/>
        <v>5275000</v>
      </c>
      <c r="E56" s="118">
        <f t="shared" si="1"/>
        <v>5300000</v>
      </c>
      <c r="F56" s="55"/>
      <c r="G56" s="123">
        <f>$G$2*$C$1/2</f>
        <v>4550000</v>
      </c>
    </row>
    <row r="57" spans="1:7" x14ac:dyDescent="0.45">
      <c r="A57" s="6">
        <v>51</v>
      </c>
      <c r="B57" s="129">
        <f t="shared" si="2"/>
        <v>49633</v>
      </c>
      <c r="C57" s="116">
        <f>'discount curve stripping'!W56</f>
        <v>0.72992702860366698</v>
      </c>
      <c r="D57" s="117">
        <f t="shared" si="0"/>
        <v>5275000</v>
      </c>
      <c r="E57" s="118">
        <f t="shared" si="1"/>
        <v>5300000</v>
      </c>
      <c r="F57" s="55"/>
      <c r="G57" s="122"/>
    </row>
    <row r="58" spans="1:7" x14ac:dyDescent="0.45">
      <c r="A58" s="6">
        <v>52</v>
      </c>
      <c r="B58" s="129">
        <f t="shared" si="2"/>
        <v>49725</v>
      </c>
      <c r="C58" s="116">
        <f>'discount curve stripping'!W57</f>
        <v>0.72553315699569543</v>
      </c>
      <c r="D58" s="117">
        <f t="shared" si="0"/>
        <v>5275000</v>
      </c>
      <c r="E58" s="118">
        <f t="shared" si="1"/>
        <v>5300000</v>
      </c>
      <c r="F58" s="55"/>
      <c r="G58" s="123">
        <f>$G$2*$C$1/2</f>
        <v>4550000</v>
      </c>
    </row>
    <row r="59" spans="1:7" x14ac:dyDescent="0.45">
      <c r="A59" s="6">
        <v>53</v>
      </c>
      <c r="B59" s="129">
        <f t="shared" si="2"/>
        <v>49815</v>
      </c>
      <c r="C59" s="116">
        <f>'discount curve stripping'!W58</f>
        <v>0.72116573475451107</v>
      </c>
      <c r="D59" s="117">
        <f t="shared" si="0"/>
        <v>5275000</v>
      </c>
      <c r="E59" s="118">
        <f t="shared" si="1"/>
        <v>5300000</v>
      </c>
      <c r="F59" s="55"/>
      <c r="G59" s="122"/>
    </row>
    <row r="60" spans="1:7" x14ac:dyDescent="0.45">
      <c r="A60" s="6">
        <v>54</v>
      </c>
      <c r="B60" s="129">
        <f t="shared" si="2"/>
        <v>49907</v>
      </c>
      <c r="C60" s="116">
        <f>'discount curve stripping'!W59</f>
        <v>0.7168246026654016</v>
      </c>
      <c r="D60" s="117">
        <f t="shared" si="0"/>
        <v>5275000</v>
      </c>
      <c r="E60" s="118">
        <f t="shared" si="1"/>
        <v>5300000</v>
      </c>
      <c r="F60" s="55"/>
      <c r="G60" s="123">
        <f>$G$2*$C$1/2</f>
        <v>4550000</v>
      </c>
    </row>
    <row r="61" spans="1:7" x14ac:dyDescent="0.45">
      <c r="A61" s="6">
        <v>55</v>
      </c>
      <c r="B61" s="129">
        <f t="shared" si="2"/>
        <v>49999</v>
      </c>
      <c r="C61" s="116">
        <f>'discount curve stripping'!W60</f>
        <v>0.7125096024720643</v>
      </c>
      <c r="D61" s="117">
        <f t="shared" si="0"/>
        <v>5275000</v>
      </c>
      <c r="E61" s="118">
        <f t="shared" si="1"/>
        <v>5300000</v>
      </c>
      <c r="F61" s="55"/>
      <c r="G61" s="122"/>
    </row>
    <row r="62" spans="1:7" x14ac:dyDescent="0.45">
      <c r="A62" s="6">
        <v>56</v>
      </c>
      <c r="B62" s="129">
        <f t="shared" si="2"/>
        <v>50091</v>
      </c>
      <c r="C62" s="116">
        <f>'discount curve stripping'!W61</f>
        <v>0.70822057687083684</v>
      </c>
      <c r="D62" s="117">
        <f t="shared" si="0"/>
        <v>5275000</v>
      </c>
      <c r="E62" s="118">
        <f t="shared" si="1"/>
        <v>5300000</v>
      </c>
      <c r="F62" s="55"/>
      <c r="G62" s="123">
        <f>$G$2*$C$1/2</f>
        <v>4550000</v>
      </c>
    </row>
    <row r="63" spans="1:7" x14ac:dyDescent="0.45">
      <c r="A63" s="6">
        <v>57</v>
      </c>
      <c r="B63" s="129">
        <f t="shared" si="2"/>
        <v>50180</v>
      </c>
      <c r="C63" s="116">
        <f>'discount curve stripping'!W62</f>
        <v>0.70395736950496246</v>
      </c>
      <c r="D63" s="117">
        <f t="shared" si="0"/>
        <v>5275000</v>
      </c>
      <c r="E63" s="118">
        <f t="shared" si="1"/>
        <v>5300000</v>
      </c>
      <c r="F63" s="55"/>
      <c r="G63" s="122"/>
    </row>
    <row r="64" spans="1:7" x14ac:dyDescent="0.45">
      <c r="A64" s="6">
        <v>58</v>
      </c>
      <c r="B64" s="129">
        <f t="shared" si="2"/>
        <v>50272</v>
      </c>
      <c r="C64" s="116">
        <f>'discount curve stripping'!W63</f>
        <v>0.69971982495889029</v>
      </c>
      <c r="D64" s="117">
        <f t="shared" si="0"/>
        <v>5275000</v>
      </c>
      <c r="E64" s="118">
        <f t="shared" si="1"/>
        <v>5300000</v>
      </c>
      <c r="F64" s="55"/>
      <c r="G64" s="123">
        <f>$G$2*$C$1/2</f>
        <v>4550000</v>
      </c>
    </row>
    <row r="65" spans="1:7" x14ac:dyDescent="0.45">
      <c r="A65" s="6">
        <v>59</v>
      </c>
      <c r="B65" s="129">
        <f t="shared" si="2"/>
        <v>50364</v>
      </c>
      <c r="C65" s="116">
        <f>'discount curve stripping'!W64</f>
        <v>0.69550778875260955</v>
      </c>
      <c r="D65" s="117">
        <f t="shared" si="0"/>
        <v>5275000</v>
      </c>
      <c r="E65" s="118">
        <f t="shared" si="1"/>
        <v>5300000</v>
      </c>
      <c r="F65" s="55"/>
      <c r="G65" s="122"/>
    </row>
    <row r="66" spans="1:7" x14ac:dyDescent="0.45">
      <c r="A66" s="6">
        <v>60</v>
      </c>
      <c r="B66" s="129">
        <f t="shared" si="2"/>
        <v>50456</v>
      </c>
      <c r="C66" s="116">
        <f>'discount curve stripping'!W65</f>
        <v>0.69132110733601759</v>
      </c>
      <c r="D66" s="117">
        <f t="shared" si="0"/>
        <v>5275000</v>
      </c>
      <c r="E66" s="118">
        <f t="shared" si="1"/>
        <v>5300000</v>
      </c>
      <c r="F66" s="55"/>
      <c r="G66" s="123">
        <f>$G$2*$C$1/2</f>
        <v>4550000</v>
      </c>
    </row>
    <row r="67" spans="1:7" x14ac:dyDescent="0.45">
      <c r="A67" s="6">
        <v>61</v>
      </c>
      <c r="B67" s="129">
        <f t="shared" si="2"/>
        <v>50545</v>
      </c>
      <c r="C67" s="116">
        <f>'discount curve stripping'!W66</f>
        <v>0.68818443362883563</v>
      </c>
      <c r="D67" s="117">
        <f t="shared" si="0"/>
        <v>5275000</v>
      </c>
      <c r="E67" s="118">
        <f t="shared" si="1"/>
        <v>5300000</v>
      </c>
      <c r="F67" s="55"/>
      <c r="G67" s="122"/>
    </row>
    <row r="68" spans="1:7" x14ac:dyDescent="0.45">
      <c r="A68" s="6">
        <v>62</v>
      </c>
      <c r="B68" s="129">
        <f t="shared" si="2"/>
        <v>50637</v>
      </c>
      <c r="C68" s="116">
        <f>'discount curve stripping'!W67</f>
        <v>0.68506199169013415</v>
      </c>
      <c r="D68" s="117">
        <f t="shared" si="0"/>
        <v>5275000</v>
      </c>
      <c r="E68" s="118">
        <f t="shared" si="1"/>
        <v>5300000</v>
      </c>
      <c r="F68" s="55"/>
      <c r="G68" s="123">
        <f>$G$2*$C$1/2</f>
        <v>4550000</v>
      </c>
    </row>
    <row r="69" spans="1:7" x14ac:dyDescent="0.45">
      <c r="A69" s="6">
        <v>63</v>
      </c>
      <c r="B69" s="129">
        <f t="shared" si="2"/>
        <v>50729</v>
      </c>
      <c r="C69" s="116">
        <f>'discount curve stripping'!W68</f>
        <v>0.68195371694729501</v>
      </c>
      <c r="D69" s="117">
        <f t="shared" si="0"/>
        <v>5275000</v>
      </c>
      <c r="E69" s="118">
        <f t="shared" si="1"/>
        <v>5300000</v>
      </c>
      <c r="F69" s="55"/>
      <c r="G69" s="122"/>
    </row>
    <row r="70" spans="1:7" x14ac:dyDescent="0.45">
      <c r="A70" s="6">
        <v>64</v>
      </c>
      <c r="B70" s="129">
        <f t="shared" si="2"/>
        <v>50821</v>
      </c>
      <c r="C70" s="116">
        <f>'discount curve stripping'!W69</f>
        <v>0.6788595451206797</v>
      </c>
      <c r="D70" s="117">
        <f t="shared" si="0"/>
        <v>5275000</v>
      </c>
      <c r="E70" s="118">
        <f t="shared" si="1"/>
        <v>5300000</v>
      </c>
      <c r="F70" s="55"/>
      <c r="G70" s="123">
        <f>$G$2*$C$1/2</f>
        <v>4550000</v>
      </c>
    </row>
    <row r="71" spans="1:7" x14ac:dyDescent="0.45">
      <c r="A71" s="6">
        <v>65</v>
      </c>
      <c r="B71" s="129">
        <f t="shared" si="2"/>
        <v>50910</v>
      </c>
      <c r="C71" s="116">
        <f>'discount curve stripping'!W70</f>
        <v>0.67577941222230065</v>
      </c>
      <c r="D71" s="117">
        <f t="shared" ref="D71:D126" si="3">$D$2*$C$1/4</f>
        <v>5275000</v>
      </c>
      <c r="E71" s="118">
        <f t="shared" ref="E71:E126" si="4">$E$2*$C$1/4</f>
        <v>5300000</v>
      </c>
      <c r="F71" s="55"/>
      <c r="G71" s="122"/>
    </row>
    <row r="72" spans="1:7" x14ac:dyDescent="0.45">
      <c r="A72" s="6">
        <v>66</v>
      </c>
      <c r="B72" s="129">
        <f t="shared" ref="B72:B126" si="5">EDATE($B$6,3*A72)</f>
        <v>51002</v>
      </c>
      <c r="C72" s="116">
        <f>'discount curve stripping'!W71</f>
        <v>0.67271325455449738</v>
      </c>
      <c r="D72" s="117">
        <f t="shared" si="3"/>
        <v>5275000</v>
      </c>
      <c r="E72" s="118">
        <f t="shared" si="4"/>
        <v>5300000</v>
      </c>
      <c r="F72" s="55"/>
      <c r="G72" s="123">
        <f>$G$2*$C$1/2</f>
        <v>4550000</v>
      </c>
    </row>
    <row r="73" spans="1:7" x14ac:dyDescent="0.45">
      <c r="A73" s="6">
        <v>67</v>
      </c>
      <c r="B73" s="129">
        <f t="shared" si="5"/>
        <v>51094</v>
      </c>
      <c r="C73" s="116">
        <f>'discount curve stripping'!W72</f>
        <v>0.66966100870861966</v>
      </c>
      <c r="D73" s="117">
        <f t="shared" si="3"/>
        <v>5275000</v>
      </c>
      <c r="E73" s="118">
        <f t="shared" si="4"/>
        <v>5300000</v>
      </c>
      <c r="F73" s="55"/>
      <c r="G73" s="122"/>
    </row>
    <row r="74" spans="1:7" x14ac:dyDescent="0.45">
      <c r="A74" s="6">
        <v>68</v>
      </c>
      <c r="B74" s="129">
        <f t="shared" si="5"/>
        <v>51186</v>
      </c>
      <c r="C74" s="116">
        <f>'discount curve stripping'!W73</f>
        <v>0.66662261156371616</v>
      </c>
      <c r="D74" s="117">
        <f t="shared" si="3"/>
        <v>5275000</v>
      </c>
      <c r="E74" s="118">
        <f t="shared" si="4"/>
        <v>5300000</v>
      </c>
      <c r="F74" s="55"/>
      <c r="G74" s="123">
        <f>$G$2*$C$1/2</f>
        <v>4550000</v>
      </c>
    </row>
    <row r="75" spans="1:7" x14ac:dyDescent="0.45">
      <c r="A75" s="6">
        <v>69</v>
      </c>
      <c r="B75" s="129">
        <f t="shared" si="5"/>
        <v>51276</v>
      </c>
      <c r="C75" s="116">
        <f>'discount curve stripping'!W74</f>
        <v>0.66359800028522875</v>
      </c>
      <c r="D75" s="117">
        <f t="shared" si="3"/>
        <v>5275000</v>
      </c>
      <c r="E75" s="118">
        <f t="shared" si="4"/>
        <v>5300000</v>
      </c>
      <c r="F75" s="55"/>
      <c r="G75" s="122"/>
    </row>
    <row r="76" spans="1:7" x14ac:dyDescent="0.45">
      <c r="A76" s="6">
        <v>70</v>
      </c>
      <c r="B76" s="129">
        <f t="shared" si="5"/>
        <v>51368</v>
      </c>
      <c r="C76" s="116">
        <f>'discount curve stripping'!W75</f>
        <v>0.66058711232369349</v>
      </c>
      <c r="D76" s="117">
        <f t="shared" si="3"/>
        <v>5275000</v>
      </c>
      <c r="E76" s="118">
        <f t="shared" si="4"/>
        <v>5300000</v>
      </c>
      <c r="F76" s="55"/>
      <c r="G76" s="123">
        <f>$G$2*$C$1/2</f>
        <v>4550000</v>
      </c>
    </row>
    <row r="77" spans="1:7" x14ac:dyDescent="0.45">
      <c r="A77" s="6">
        <v>71</v>
      </c>
      <c r="B77" s="129">
        <f t="shared" si="5"/>
        <v>51460</v>
      </c>
      <c r="C77" s="116">
        <f>'discount curve stripping'!W76</f>
        <v>0.65758988541344698</v>
      </c>
      <c r="D77" s="117">
        <f t="shared" si="3"/>
        <v>5275000</v>
      </c>
      <c r="E77" s="118">
        <f t="shared" si="4"/>
        <v>5300000</v>
      </c>
      <c r="F77" s="55"/>
      <c r="G77" s="122"/>
    </row>
    <row r="78" spans="1:7" x14ac:dyDescent="0.45">
      <c r="A78" s="6">
        <v>72</v>
      </c>
      <c r="B78" s="129">
        <f t="shared" si="5"/>
        <v>51552</v>
      </c>
      <c r="C78" s="116">
        <f>'discount curve stripping'!W77</f>
        <v>0.65460625757133828</v>
      </c>
      <c r="D78" s="117">
        <f t="shared" si="3"/>
        <v>5275000</v>
      </c>
      <c r="E78" s="118">
        <f t="shared" si="4"/>
        <v>5300000</v>
      </c>
      <c r="F78" s="55"/>
      <c r="G78" s="123">
        <f>$G$2*$C$1/2</f>
        <v>4550000</v>
      </c>
    </row>
    <row r="79" spans="1:7" x14ac:dyDescent="0.45">
      <c r="A79" s="6">
        <v>73</v>
      </c>
      <c r="B79" s="129">
        <f t="shared" si="5"/>
        <v>51641</v>
      </c>
      <c r="C79" s="116">
        <f>'discount curve stripping'!W78</f>
        <v>0.65163616709544769</v>
      </c>
      <c r="D79" s="117">
        <f t="shared" si="3"/>
        <v>5275000</v>
      </c>
      <c r="E79" s="118">
        <f t="shared" si="4"/>
        <v>5300000</v>
      </c>
      <c r="F79" s="55"/>
      <c r="G79" s="122"/>
    </row>
    <row r="80" spans="1:7" x14ac:dyDescent="0.45">
      <c r="A80" s="6">
        <v>74</v>
      </c>
      <c r="B80" s="129">
        <f t="shared" si="5"/>
        <v>51733</v>
      </c>
      <c r="C80" s="116">
        <f>'discount curve stripping'!W79</f>
        <v>0.6486795525638106</v>
      </c>
      <c r="D80" s="117">
        <f t="shared" si="3"/>
        <v>5275000</v>
      </c>
      <c r="E80" s="118">
        <f t="shared" si="4"/>
        <v>5300000</v>
      </c>
      <c r="F80" s="55"/>
      <c r="G80" s="123">
        <f>$G$2*$C$1/2</f>
        <v>4550000</v>
      </c>
    </row>
    <row r="81" spans="1:7" x14ac:dyDescent="0.45">
      <c r="A81" s="6">
        <v>75</v>
      </c>
      <c r="B81" s="129">
        <f t="shared" si="5"/>
        <v>51825</v>
      </c>
      <c r="C81" s="116">
        <f>'discount curve stripping'!W80</f>
        <v>0.6457363528331469</v>
      </c>
      <c r="D81" s="117">
        <f t="shared" si="3"/>
        <v>5275000</v>
      </c>
      <c r="E81" s="118">
        <f t="shared" si="4"/>
        <v>5300000</v>
      </c>
      <c r="F81" s="55"/>
      <c r="G81" s="122"/>
    </row>
    <row r="82" spans="1:7" x14ac:dyDescent="0.45">
      <c r="A82" s="6">
        <v>76</v>
      </c>
      <c r="B82" s="129">
        <f t="shared" si="5"/>
        <v>51917</v>
      </c>
      <c r="C82" s="116">
        <f>'discount curve stripping'!W81</f>
        <v>0.64280650703759701</v>
      </c>
      <c r="D82" s="117">
        <f t="shared" si="3"/>
        <v>5275000</v>
      </c>
      <c r="E82" s="118">
        <f t="shared" si="4"/>
        <v>5300000</v>
      </c>
      <c r="F82" s="55"/>
      <c r="G82" s="123">
        <f>$G$2*$C$1/2</f>
        <v>4550000</v>
      </c>
    </row>
    <row r="83" spans="1:7" x14ac:dyDescent="0.45">
      <c r="A83" s="6">
        <v>77</v>
      </c>
      <c r="B83" s="129">
        <f t="shared" si="5"/>
        <v>52006</v>
      </c>
      <c r="C83" s="116">
        <f>'discount curve stripping'!W82</f>
        <v>0.63988995458746289</v>
      </c>
      <c r="D83" s="117">
        <f t="shared" si="3"/>
        <v>5275000</v>
      </c>
      <c r="E83" s="118">
        <f t="shared" si="4"/>
        <v>5300000</v>
      </c>
      <c r="F83" s="55"/>
      <c r="G83" s="122"/>
    </row>
    <row r="84" spans="1:7" x14ac:dyDescent="0.45">
      <c r="A84" s="6">
        <v>78</v>
      </c>
      <c r="B84" s="129">
        <f t="shared" si="5"/>
        <v>52098</v>
      </c>
      <c r="C84" s="116">
        <f>'discount curve stripping'!W83</f>
        <v>0.63698663516795495</v>
      </c>
      <c r="D84" s="117">
        <f t="shared" si="3"/>
        <v>5275000</v>
      </c>
      <c r="E84" s="118">
        <f t="shared" si="4"/>
        <v>5300000</v>
      </c>
      <c r="F84" s="55"/>
      <c r="G84" s="123">
        <f>$G$2*$C$1/2</f>
        <v>4550000</v>
      </c>
    </row>
    <row r="85" spans="1:7" x14ac:dyDescent="0.45">
      <c r="A85" s="6">
        <v>79</v>
      </c>
      <c r="B85" s="129">
        <f t="shared" si="5"/>
        <v>52190</v>
      </c>
      <c r="C85" s="116">
        <f>'discount curve stripping'!W84</f>
        <v>0.63409648873794511</v>
      </c>
      <c r="D85" s="117">
        <f t="shared" si="3"/>
        <v>5275000</v>
      </c>
      <c r="E85" s="118">
        <f t="shared" si="4"/>
        <v>5300000</v>
      </c>
      <c r="F85" s="55"/>
      <c r="G85" s="122"/>
    </row>
    <row r="86" spans="1:7" x14ac:dyDescent="0.45">
      <c r="A86" s="6">
        <v>80</v>
      </c>
      <c r="B86" s="129">
        <f t="shared" si="5"/>
        <v>52282</v>
      </c>
      <c r="C86" s="116">
        <f>'discount curve stripping'!W85</f>
        <v>0.63121945552872472</v>
      </c>
      <c r="D86" s="117">
        <f t="shared" si="3"/>
        <v>5275000</v>
      </c>
      <c r="E86" s="118">
        <f t="shared" si="4"/>
        <v>5300000</v>
      </c>
      <c r="F86" s="55"/>
      <c r="G86" s="123">
        <f>$G$2*$C$1/2</f>
        <v>4550000</v>
      </c>
    </row>
    <row r="87" spans="1:7" x14ac:dyDescent="0.45">
      <c r="A87" s="6">
        <v>81</v>
      </c>
      <c r="B87" s="129">
        <f t="shared" si="5"/>
        <v>52371</v>
      </c>
      <c r="C87" s="116">
        <f>'discount curve stripping'!W86</f>
        <v>0.62915515521519683</v>
      </c>
      <c r="D87" s="117">
        <f t="shared" si="3"/>
        <v>5275000</v>
      </c>
      <c r="E87" s="118">
        <f t="shared" si="4"/>
        <v>5300000</v>
      </c>
      <c r="F87" s="55"/>
      <c r="G87" s="122"/>
    </row>
    <row r="88" spans="1:7" x14ac:dyDescent="0.45">
      <c r="A88" s="6">
        <v>82</v>
      </c>
      <c r="B88" s="129">
        <f t="shared" si="5"/>
        <v>52463</v>
      </c>
      <c r="C88" s="116">
        <f>'discount curve stripping'!W87</f>
        <v>0.62709760585927488</v>
      </c>
      <c r="D88" s="117">
        <f t="shared" si="3"/>
        <v>5275000</v>
      </c>
      <c r="E88" s="118">
        <f t="shared" si="4"/>
        <v>5300000</v>
      </c>
      <c r="F88" s="55"/>
      <c r="G88" s="123">
        <f>$G$2*$C$1/2</f>
        <v>4550000</v>
      </c>
    </row>
    <row r="89" spans="1:7" x14ac:dyDescent="0.45">
      <c r="A89" s="6">
        <v>83</v>
      </c>
      <c r="B89" s="129">
        <f t="shared" si="5"/>
        <v>52555</v>
      </c>
      <c r="C89" s="116">
        <f>'discount curve stripping'!W88</f>
        <v>0.62504678538305303</v>
      </c>
      <c r="D89" s="117">
        <f t="shared" si="3"/>
        <v>5275000</v>
      </c>
      <c r="E89" s="118">
        <f t="shared" si="4"/>
        <v>5300000</v>
      </c>
      <c r="F89" s="55"/>
      <c r="G89" s="122"/>
    </row>
    <row r="90" spans="1:7" x14ac:dyDescent="0.45">
      <c r="A90" s="6">
        <v>84</v>
      </c>
      <c r="B90" s="129">
        <f t="shared" si="5"/>
        <v>52647</v>
      </c>
      <c r="C90" s="116">
        <f>'discount curve stripping'!W89</f>
        <v>0.62300267178082713</v>
      </c>
      <c r="D90" s="117">
        <f t="shared" si="3"/>
        <v>5275000</v>
      </c>
      <c r="E90" s="118">
        <f t="shared" si="4"/>
        <v>5300000</v>
      </c>
      <c r="F90" s="55"/>
      <c r="G90" s="123">
        <f>$G$2*$C$1/2</f>
        <v>4550000</v>
      </c>
    </row>
    <row r="91" spans="1:7" x14ac:dyDescent="0.45">
      <c r="A91" s="6">
        <v>85</v>
      </c>
      <c r="B91" s="129">
        <f t="shared" si="5"/>
        <v>52737</v>
      </c>
      <c r="C91" s="116">
        <f>'discount curve stripping'!W90</f>
        <v>0.62096524311885926</v>
      </c>
      <c r="D91" s="117">
        <f t="shared" si="3"/>
        <v>5275000</v>
      </c>
      <c r="E91" s="118">
        <f t="shared" si="4"/>
        <v>5300000</v>
      </c>
      <c r="F91" s="55"/>
      <c r="G91" s="122"/>
    </row>
    <row r="92" spans="1:7" x14ac:dyDescent="0.45">
      <c r="A92" s="6">
        <v>86</v>
      </c>
      <c r="B92" s="129">
        <f t="shared" si="5"/>
        <v>52829</v>
      </c>
      <c r="C92" s="116">
        <f>'discount curve stripping'!W91</f>
        <v>0.61893447753514241</v>
      </c>
      <c r="D92" s="117">
        <f t="shared" si="3"/>
        <v>5275000</v>
      </c>
      <c r="E92" s="118">
        <f t="shared" si="4"/>
        <v>5300000</v>
      </c>
      <c r="F92" s="55"/>
      <c r="G92" s="123">
        <f>$G$2*$C$1/2</f>
        <v>4550000</v>
      </c>
    </row>
    <row r="93" spans="1:7" x14ac:dyDescent="0.45">
      <c r="A93" s="6">
        <v>87</v>
      </c>
      <c r="B93" s="129">
        <f t="shared" si="5"/>
        <v>52921</v>
      </c>
      <c r="C93" s="116">
        <f>'discount curve stripping'!W92</f>
        <v>0.61691035323916543</v>
      </c>
      <c r="D93" s="117">
        <f t="shared" si="3"/>
        <v>5275000</v>
      </c>
      <c r="E93" s="118">
        <f t="shared" si="4"/>
        <v>5300000</v>
      </c>
      <c r="F93" s="55"/>
      <c r="G93" s="122"/>
    </row>
    <row r="94" spans="1:7" x14ac:dyDescent="0.45">
      <c r="A94" s="6">
        <v>88</v>
      </c>
      <c r="B94" s="129">
        <f t="shared" si="5"/>
        <v>53013</v>
      </c>
      <c r="C94" s="116">
        <f>'discount curve stripping'!W93</f>
        <v>0.61489284851167958</v>
      </c>
      <c r="D94" s="117">
        <f t="shared" si="3"/>
        <v>5275000</v>
      </c>
      <c r="E94" s="118">
        <f t="shared" si="4"/>
        <v>5300000</v>
      </c>
      <c r="F94" s="55"/>
      <c r="G94" s="123">
        <f>$G$2*$C$1/2</f>
        <v>4550000</v>
      </c>
    </row>
    <row r="95" spans="1:7" x14ac:dyDescent="0.45">
      <c r="A95" s="6">
        <v>89</v>
      </c>
      <c r="B95" s="129">
        <f t="shared" si="5"/>
        <v>53102</v>
      </c>
      <c r="C95" s="116">
        <f>'discount curve stripping'!W94</f>
        <v>0.61288194170446531</v>
      </c>
      <c r="D95" s="117">
        <f t="shared" si="3"/>
        <v>5275000</v>
      </c>
      <c r="E95" s="118">
        <f t="shared" si="4"/>
        <v>5300000</v>
      </c>
      <c r="F95" s="55"/>
      <c r="G95" s="122"/>
    </row>
    <row r="96" spans="1:7" x14ac:dyDescent="0.45">
      <c r="A96" s="6">
        <v>90</v>
      </c>
      <c r="B96" s="129">
        <f t="shared" si="5"/>
        <v>53194</v>
      </c>
      <c r="C96" s="116">
        <f>'discount curve stripping'!W95</f>
        <v>0.6108776112401002</v>
      </c>
      <c r="D96" s="117">
        <f t="shared" si="3"/>
        <v>5275000</v>
      </c>
      <c r="E96" s="118">
        <f t="shared" si="4"/>
        <v>5300000</v>
      </c>
      <c r="F96" s="55"/>
      <c r="G96" s="123">
        <f>$G$2*$C$1/2</f>
        <v>4550000</v>
      </c>
    </row>
    <row r="97" spans="1:7" x14ac:dyDescent="0.45">
      <c r="A97" s="6">
        <v>91</v>
      </c>
      <c r="B97" s="129">
        <f t="shared" si="5"/>
        <v>53286</v>
      </c>
      <c r="C97" s="116">
        <f>'discount curve stripping'!W96</f>
        <v>0.6088798356117272</v>
      </c>
      <c r="D97" s="117">
        <f t="shared" si="3"/>
        <v>5275000</v>
      </c>
      <c r="E97" s="118">
        <f t="shared" si="4"/>
        <v>5300000</v>
      </c>
      <c r="F97" s="55"/>
      <c r="G97" s="122"/>
    </row>
    <row r="98" spans="1:7" x14ac:dyDescent="0.45">
      <c r="A98" s="6">
        <v>92</v>
      </c>
      <c r="B98" s="129">
        <f t="shared" si="5"/>
        <v>53378</v>
      </c>
      <c r="C98" s="116">
        <f>'discount curve stripping'!W97</f>
        <v>0.60688859338282386</v>
      </c>
      <c r="D98" s="117">
        <f t="shared" si="3"/>
        <v>5275000</v>
      </c>
      <c r="E98" s="118">
        <f t="shared" si="4"/>
        <v>5300000</v>
      </c>
      <c r="F98" s="55"/>
      <c r="G98" s="123">
        <f>$G$2*$C$1/2</f>
        <v>4550000</v>
      </c>
    </row>
    <row r="99" spans="1:7" x14ac:dyDescent="0.45">
      <c r="A99" s="6">
        <v>93</v>
      </c>
      <c r="B99" s="129">
        <f t="shared" si="5"/>
        <v>53467</v>
      </c>
      <c r="C99" s="116">
        <f>'discount curve stripping'!W98</f>
        <v>0.60490386318697253</v>
      </c>
      <c r="D99" s="117">
        <f t="shared" si="3"/>
        <v>5275000</v>
      </c>
      <c r="E99" s="118">
        <f t="shared" si="4"/>
        <v>5300000</v>
      </c>
      <c r="F99" s="55"/>
      <c r="G99" s="122"/>
    </row>
    <row r="100" spans="1:7" x14ac:dyDescent="0.45">
      <c r="A100" s="6">
        <v>94</v>
      </c>
      <c r="B100" s="129">
        <f t="shared" si="5"/>
        <v>53559</v>
      </c>
      <c r="C100" s="116">
        <f>'discount curve stripping'!W99</f>
        <v>0.6029256237276307</v>
      </c>
      <c r="D100" s="117">
        <f t="shared" si="3"/>
        <v>5275000</v>
      </c>
      <c r="E100" s="118">
        <f t="shared" si="4"/>
        <v>5300000</v>
      </c>
      <c r="F100" s="55"/>
      <c r="G100" s="123">
        <f>$G$2*$C$1/2</f>
        <v>4550000</v>
      </c>
    </row>
    <row r="101" spans="1:7" x14ac:dyDescent="0.45">
      <c r="A101" s="6">
        <v>95</v>
      </c>
      <c r="B101" s="129">
        <f t="shared" si="5"/>
        <v>53651</v>
      </c>
      <c r="C101" s="116">
        <f>'discount curve stripping'!W100</f>
        <v>0.60095385377790311</v>
      </c>
      <c r="D101" s="117">
        <f t="shared" si="3"/>
        <v>5275000</v>
      </c>
      <c r="E101" s="118">
        <f t="shared" si="4"/>
        <v>5300000</v>
      </c>
      <c r="F101" s="55"/>
      <c r="G101" s="122"/>
    </row>
    <row r="102" spans="1:7" x14ac:dyDescent="0.45">
      <c r="A102" s="6">
        <v>96</v>
      </c>
      <c r="B102" s="129">
        <f t="shared" si="5"/>
        <v>53743</v>
      </c>
      <c r="C102" s="116">
        <f>'discount curve stripping'!W101</f>
        <v>0.59898853218031312</v>
      </c>
      <c r="D102" s="117">
        <f t="shared" si="3"/>
        <v>5275000</v>
      </c>
      <c r="E102" s="118">
        <f t="shared" si="4"/>
        <v>5300000</v>
      </c>
      <c r="F102" s="55"/>
      <c r="G102" s="123">
        <f>$G$2*$C$1/2</f>
        <v>4550000</v>
      </c>
    </row>
    <row r="103" spans="1:7" x14ac:dyDescent="0.45">
      <c r="A103" s="6">
        <v>97</v>
      </c>
      <c r="B103" s="129">
        <f t="shared" si="5"/>
        <v>53832</v>
      </c>
      <c r="C103" s="116">
        <f>'discount curve stripping'!W102</f>
        <v>0.59702963784657659</v>
      </c>
      <c r="D103" s="117">
        <f t="shared" si="3"/>
        <v>5275000</v>
      </c>
      <c r="E103" s="118">
        <f t="shared" si="4"/>
        <v>5300000</v>
      </c>
      <c r="F103" s="55"/>
      <c r="G103" s="122"/>
    </row>
    <row r="104" spans="1:7" x14ac:dyDescent="0.45">
      <c r="A104" s="6">
        <v>98</v>
      </c>
      <c r="B104" s="129">
        <f t="shared" si="5"/>
        <v>53924</v>
      </c>
      <c r="C104" s="116">
        <f>'discount curve stripping'!W103</f>
        <v>0.59507714975737491</v>
      </c>
      <c r="D104" s="117">
        <f t="shared" si="3"/>
        <v>5275000</v>
      </c>
      <c r="E104" s="118">
        <f t="shared" si="4"/>
        <v>5300000</v>
      </c>
      <c r="F104" s="55"/>
      <c r="G104" s="123">
        <f>$G$2*$C$1/2</f>
        <v>4550000</v>
      </c>
    </row>
    <row r="105" spans="1:7" x14ac:dyDescent="0.45">
      <c r="A105" s="6">
        <v>99</v>
      </c>
      <c r="B105" s="129">
        <f t="shared" si="5"/>
        <v>54016</v>
      </c>
      <c r="C105" s="116">
        <f>'discount curve stripping'!W104</f>
        <v>0.59313104696212993</v>
      </c>
      <c r="D105" s="117">
        <f t="shared" si="3"/>
        <v>5275000</v>
      </c>
      <c r="E105" s="118">
        <f t="shared" si="4"/>
        <v>5300000</v>
      </c>
      <c r="F105" s="55"/>
      <c r="G105" s="122"/>
    </row>
    <row r="106" spans="1:7" x14ac:dyDescent="0.45">
      <c r="A106" s="6">
        <v>100</v>
      </c>
      <c r="B106" s="129">
        <f t="shared" si="5"/>
        <v>54108</v>
      </c>
      <c r="C106" s="116">
        <f>'discount curve stripping'!W105</f>
        <v>0.59119130857877877</v>
      </c>
      <c r="D106" s="117">
        <f t="shared" si="3"/>
        <v>5275000</v>
      </c>
      <c r="E106" s="118">
        <f t="shared" si="4"/>
        <v>5300000</v>
      </c>
      <c r="F106" s="55"/>
      <c r="G106" s="123">
        <f>$G$2*$C$1/2</f>
        <v>4550000</v>
      </c>
    </row>
    <row r="107" spans="1:7" x14ac:dyDescent="0.45">
      <c r="A107" s="6">
        <v>101</v>
      </c>
      <c r="B107" s="129">
        <f t="shared" si="5"/>
        <v>54198</v>
      </c>
      <c r="C107" s="116">
        <f>'discount curve stripping'!W106</f>
        <v>0.5895236041410199</v>
      </c>
      <c r="D107" s="117">
        <f t="shared" si="3"/>
        <v>5275000</v>
      </c>
      <c r="E107" s="118">
        <f t="shared" si="4"/>
        <v>5300000</v>
      </c>
      <c r="F107" s="55"/>
      <c r="G107" s="122"/>
    </row>
    <row r="108" spans="1:7" x14ac:dyDescent="0.45">
      <c r="A108" s="6">
        <v>102</v>
      </c>
      <c r="B108" s="129">
        <f t="shared" si="5"/>
        <v>54290</v>
      </c>
      <c r="C108" s="116">
        <f>'discount curve stripping'!W107</f>
        <v>0.58786060416703012</v>
      </c>
      <c r="D108" s="117">
        <f t="shared" si="3"/>
        <v>5275000</v>
      </c>
      <c r="E108" s="118">
        <f t="shared" si="4"/>
        <v>5300000</v>
      </c>
      <c r="F108" s="55"/>
      <c r="G108" s="123">
        <f>$G$2*$C$1/2</f>
        <v>4550000</v>
      </c>
    </row>
    <row r="109" spans="1:7" x14ac:dyDescent="0.45">
      <c r="A109" s="6">
        <v>103</v>
      </c>
      <c r="B109" s="129">
        <f t="shared" si="5"/>
        <v>54382</v>
      </c>
      <c r="C109" s="116">
        <f>'discount curve stripping'!W108</f>
        <v>0.58620229538588486</v>
      </c>
      <c r="D109" s="117">
        <f t="shared" si="3"/>
        <v>5275000</v>
      </c>
      <c r="E109" s="118">
        <f t="shared" si="4"/>
        <v>5300000</v>
      </c>
      <c r="F109" s="55"/>
      <c r="G109" s="122"/>
    </row>
    <row r="110" spans="1:7" x14ac:dyDescent="0.45">
      <c r="A110" s="6">
        <v>104</v>
      </c>
      <c r="B110" s="129">
        <f t="shared" si="5"/>
        <v>54474</v>
      </c>
      <c r="C110" s="116">
        <f>'discount curve stripping'!W109</f>
        <v>0.58454866456409627</v>
      </c>
      <c r="D110" s="117">
        <f t="shared" si="3"/>
        <v>5275000</v>
      </c>
      <c r="E110" s="118">
        <f t="shared" si="4"/>
        <v>5300000</v>
      </c>
      <c r="F110" s="55"/>
      <c r="G110" s="123">
        <f>$G$2*$C$1/2</f>
        <v>4550000</v>
      </c>
    </row>
    <row r="111" spans="1:7" x14ac:dyDescent="0.45">
      <c r="A111" s="6">
        <v>105</v>
      </c>
      <c r="B111" s="129">
        <f t="shared" si="5"/>
        <v>54563</v>
      </c>
      <c r="C111" s="116">
        <f>'discount curve stripping'!W110</f>
        <v>0.58289969850550682</v>
      </c>
      <c r="D111" s="117">
        <f t="shared" si="3"/>
        <v>5275000</v>
      </c>
      <c r="E111" s="118">
        <f t="shared" si="4"/>
        <v>5300000</v>
      </c>
      <c r="F111" s="55"/>
      <c r="G111" s="122"/>
    </row>
    <row r="112" spans="1:7" x14ac:dyDescent="0.45">
      <c r="A112" s="6">
        <v>106</v>
      </c>
      <c r="B112" s="129">
        <f t="shared" si="5"/>
        <v>54655</v>
      </c>
      <c r="C112" s="116">
        <f>'discount curve stripping'!W111</f>
        <v>0.58125538405118438</v>
      </c>
      <c r="D112" s="117">
        <f t="shared" si="3"/>
        <v>5275000</v>
      </c>
      <c r="E112" s="118">
        <f t="shared" si="4"/>
        <v>5300000</v>
      </c>
      <c r="F112" s="55"/>
      <c r="G112" s="123">
        <f>$G$2*$C$1/2</f>
        <v>4550000</v>
      </c>
    </row>
    <row r="113" spans="1:11" x14ac:dyDescent="0.45">
      <c r="A113" s="6">
        <v>107</v>
      </c>
      <c r="B113" s="129">
        <f t="shared" si="5"/>
        <v>54747</v>
      </c>
      <c r="C113" s="116">
        <f>'discount curve stripping'!W112</f>
        <v>0.57961570807931717</v>
      </c>
      <c r="D113" s="117">
        <f t="shared" si="3"/>
        <v>5275000</v>
      </c>
      <c r="E113" s="118">
        <f t="shared" si="4"/>
        <v>5300000</v>
      </c>
      <c r="F113" s="55"/>
      <c r="G113" s="122"/>
    </row>
    <row r="114" spans="1:11" x14ac:dyDescent="0.45">
      <c r="A114" s="6">
        <v>108</v>
      </c>
      <c r="B114" s="129">
        <f t="shared" si="5"/>
        <v>54839</v>
      </c>
      <c r="C114" s="116">
        <f>'discount curve stripping'!W113</f>
        <v>0.57798065750510907</v>
      </c>
      <c r="D114" s="117">
        <f t="shared" si="3"/>
        <v>5275000</v>
      </c>
      <c r="E114" s="118">
        <f t="shared" si="4"/>
        <v>5300000</v>
      </c>
      <c r="F114" s="55"/>
      <c r="G114" s="123">
        <f>$G$2*$C$1/2</f>
        <v>4550000</v>
      </c>
    </row>
    <row r="115" spans="1:11" x14ac:dyDescent="0.45">
      <c r="A115" s="6">
        <v>109</v>
      </c>
      <c r="B115" s="129">
        <f t="shared" si="5"/>
        <v>54928</v>
      </c>
      <c r="C115" s="116">
        <f>'discount curve stripping'!W114</f>
        <v>0.57635021928067509</v>
      </c>
      <c r="D115" s="117">
        <f t="shared" si="3"/>
        <v>5275000</v>
      </c>
      <c r="E115" s="118">
        <f t="shared" si="4"/>
        <v>5300000</v>
      </c>
      <c r="F115" s="55"/>
      <c r="G115" s="122"/>
    </row>
    <row r="116" spans="1:11" x14ac:dyDescent="0.45">
      <c r="A116" s="6">
        <v>110</v>
      </c>
      <c r="B116" s="129">
        <f t="shared" si="5"/>
        <v>55020</v>
      </c>
      <c r="C116" s="116">
        <f>'discount curve stripping'!W115</f>
        <v>0.57472438039493723</v>
      </c>
      <c r="D116" s="117">
        <f t="shared" si="3"/>
        <v>5275000</v>
      </c>
      <c r="E116" s="118">
        <f t="shared" si="4"/>
        <v>5300000</v>
      </c>
      <c r="F116" s="55"/>
      <c r="G116" s="123">
        <f>$G$2*$C$1/2</f>
        <v>4550000</v>
      </c>
    </row>
    <row r="117" spans="1:11" x14ac:dyDescent="0.45">
      <c r="A117" s="6">
        <v>111</v>
      </c>
      <c r="B117" s="129">
        <f t="shared" si="5"/>
        <v>55112</v>
      </c>
      <c r="C117" s="116">
        <f>'discount curve stripping'!W116</f>
        <v>0.5731031278735208</v>
      </c>
      <c r="D117" s="117">
        <f t="shared" si="3"/>
        <v>5275000</v>
      </c>
      <c r="E117" s="118">
        <f t="shared" si="4"/>
        <v>5300000</v>
      </c>
      <c r="F117" s="55"/>
      <c r="G117" s="122"/>
    </row>
    <row r="118" spans="1:11" x14ac:dyDescent="0.45">
      <c r="A118" s="6">
        <v>112</v>
      </c>
      <c r="B118" s="129">
        <f t="shared" si="5"/>
        <v>55204</v>
      </c>
      <c r="C118" s="116">
        <f>'discount curve stripping'!W117</f>
        <v>0.57148644877865085</v>
      </c>
      <c r="D118" s="117">
        <f t="shared" si="3"/>
        <v>5275000</v>
      </c>
      <c r="E118" s="118">
        <f t="shared" si="4"/>
        <v>5300000</v>
      </c>
      <c r="F118" s="55"/>
      <c r="G118" s="123">
        <f>$G$2*$C$1/2</f>
        <v>4550000</v>
      </c>
    </row>
    <row r="119" spans="1:11" x14ac:dyDescent="0.45">
      <c r="A119" s="6">
        <v>113</v>
      </c>
      <c r="B119" s="129">
        <f t="shared" si="5"/>
        <v>55293</v>
      </c>
      <c r="C119" s="116">
        <f>'discount curve stripping'!W118</f>
        <v>0.56987433020904887</v>
      </c>
      <c r="D119" s="117">
        <f t="shared" si="3"/>
        <v>5275000</v>
      </c>
      <c r="E119" s="118">
        <f t="shared" si="4"/>
        <v>5300000</v>
      </c>
      <c r="F119" s="55"/>
      <c r="G119" s="122"/>
    </row>
    <row r="120" spans="1:11" x14ac:dyDescent="0.45">
      <c r="A120" s="6">
        <v>114</v>
      </c>
      <c r="B120" s="129">
        <f t="shared" si="5"/>
        <v>55385</v>
      </c>
      <c r="C120" s="116">
        <f>'discount curve stripping'!W119</f>
        <v>0.56826675929982973</v>
      </c>
      <c r="D120" s="117">
        <f t="shared" si="3"/>
        <v>5275000</v>
      </c>
      <c r="E120" s="118">
        <f t="shared" si="4"/>
        <v>5300000</v>
      </c>
      <c r="F120" s="55"/>
      <c r="G120" s="123">
        <f>$G$2*$C$1/2</f>
        <v>4550000</v>
      </c>
    </row>
    <row r="121" spans="1:11" x14ac:dyDescent="0.45">
      <c r="A121" s="6">
        <v>115</v>
      </c>
      <c r="B121" s="129">
        <f t="shared" si="5"/>
        <v>55477</v>
      </c>
      <c r="C121" s="116">
        <f>'discount curve stripping'!W120</f>
        <v>0.56666372322239922</v>
      </c>
      <c r="D121" s="117">
        <f t="shared" si="3"/>
        <v>5275000</v>
      </c>
      <c r="E121" s="118">
        <f t="shared" si="4"/>
        <v>5300000</v>
      </c>
      <c r="F121" s="55"/>
      <c r="G121" s="122"/>
    </row>
    <row r="122" spans="1:11" x14ac:dyDescent="0.45">
      <c r="A122" s="6">
        <v>116</v>
      </c>
      <c r="B122" s="129">
        <f t="shared" si="5"/>
        <v>55569</v>
      </c>
      <c r="C122" s="116">
        <f>'discount curve stripping'!W121</f>
        <v>0.56506520918435166</v>
      </c>
      <c r="D122" s="117">
        <f t="shared" si="3"/>
        <v>5275000</v>
      </c>
      <c r="E122" s="118">
        <f t="shared" si="4"/>
        <v>5300000</v>
      </c>
      <c r="F122" s="55"/>
      <c r="G122" s="123">
        <f>$G$2*$C$1/2</f>
        <v>4550000</v>
      </c>
    </row>
    <row r="123" spans="1:11" x14ac:dyDescent="0.45">
      <c r="A123" s="6">
        <v>117</v>
      </c>
      <c r="B123" s="129">
        <f t="shared" si="5"/>
        <v>55659</v>
      </c>
      <c r="C123" s="116">
        <f>'discount curve stripping'!W122</f>
        <v>0.5634712044293676</v>
      </c>
      <c r="D123" s="117">
        <f t="shared" si="3"/>
        <v>5275000</v>
      </c>
      <c r="E123" s="118">
        <f t="shared" si="4"/>
        <v>5300000</v>
      </c>
      <c r="F123" s="55"/>
      <c r="G123" s="122"/>
    </row>
    <row r="124" spans="1:11" x14ac:dyDescent="0.45">
      <c r="A124" s="6">
        <v>118</v>
      </c>
      <c r="B124" s="129">
        <f t="shared" si="5"/>
        <v>55751</v>
      </c>
      <c r="C124" s="116">
        <f>'discount curve stripping'!W123</f>
        <v>0.56188169623711215</v>
      </c>
      <c r="D124" s="117">
        <f t="shared" si="3"/>
        <v>5275000</v>
      </c>
      <c r="E124" s="118">
        <f t="shared" si="4"/>
        <v>5300000</v>
      </c>
      <c r="F124" s="55"/>
      <c r="G124" s="123">
        <f>$G$2*$C$1/2</f>
        <v>4550000</v>
      </c>
    </row>
    <row r="125" spans="1:11" x14ac:dyDescent="0.45">
      <c r="A125" s="6">
        <v>119</v>
      </c>
      <c r="B125" s="129">
        <f t="shared" si="5"/>
        <v>55843</v>
      </c>
      <c r="C125" s="116">
        <f>'discount curve stripping'!W124</f>
        <v>0.56029667192313382</v>
      </c>
      <c r="D125" s="117">
        <f t="shared" si="3"/>
        <v>5275000</v>
      </c>
      <c r="E125" s="118">
        <f t="shared" si="4"/>
        <v>5300000</v>
      </c>
      <c r="F125" s="55"/>
      <c r="G125" s="122"/>
    </row>
    <row r="126" spans="1:11" x14ac:dyDescent="0.45">
      <c r="A126" s="11">
        <v>120</v>
      </c>
      <c r="B126" s="130">
        <f t="shared" si="5"/>
        <v>55935</v>
      </c>
      <c r="C126" s="119">
        <f>'discount curve stripping'!W125</f>
        <v>0.55871611883876249</v>
      </c>
      <c r="D126" s="120">
        <f t="shared" si="3"/>
        <v>5275000</v>
      </c>
      <c r="E126" s="121">
        <f t="shared" si="4"/>
        <v>5300000</v>
      </c>
      <c r="F126" s="131"/>
      <c r="G126" s="124">
        <f>$G$2*$C$1/2</f>
        <v>4550000</v>
      </c>
    </row>
    <row r="127" spans="1:11" x14ac:dyDescent="0.45">
      <c r="I127" s="64" t="s">
        <v>96</v>
      </c>
    </row>
    <row r="128" spans="1:11" x14ac:dyDescent="0.45">
      <c r="C128" s="63" t="s">
        <v>95</v>
      </c>
      <c r="D128" s="65">
        <f>SUMPRODUCT($C7:$C126,D7:D126)</f>
        <v>458294973.93455386</v>
      </c>
      <c r="E128" s="62">
        <f>SUMPRODUCT($C7:$C126,E7:E126)</f>
        <v>460466988.02903038</v>
      </c>
      <c r="G128" s="65">
        <f>-SUMPRODUCT($C7:$C126,G7:G126)</f>
        <v>-197152688.64493126</v>
      </c>
      <c r="I128" s="65">
        <f>D128+G128</f>
        <v>261142285.2896226</v>
      </c>
      <c r="K128" s="62" t="s">
        <v>120</v>
      </c>
    </row>
    <row r="129" spans="2:9" x14ac:dyDescent="0.45">
      <c r="C129" s="63"/>
      <c r="D129" s="62"/>
      <c r="E129" s="62"/>
      <c r="I129" s="111"/>
    </row>
    <row r="130" spans="2:9" ht="14.65" thickBot="1" x14ac:dyDescent="0.5">
      <c r="C130" s="50" t="s">
        <v>119</v>
      </c>
    </row>
    <row r="131" spans="2:9" x14ac:dyDescent="0.45">
      <c r="B131" s="63"/>
      <c r="C131" s="85" t="s">
        <v>99</v>
      </c>
      <c r="D131" s="107" t="s">
        <v>98</v>
      </c>
      <c r="E131" s="108">
        <f>E128-D128</f>
        <v>2172014.094476521</v>
      </c>
      <c r="G131" s="62"/>
    </row>
    <row r="132" spans="2:9" x14ac:dyDescent="0.45">
      <c r="C132" s="86"/>
      <c r="D132" s="55"/>
      <c r="E132" s="73"/>
    </row>
    <row r="133" spans="2:9" x14ac:dyDescent="0.45">
      <c r="C133" s="110" t="s">
        <v>100</v>
      </c>
      <c r="D133" s="55"/>
      <c r="E133" s="73"/>
      <c r="G133" s="62"/>
    </row>
    <row r="134" spans="2:9" x14ac:dyDescent="0.45">
      <c r="C134" s="86"/>
      <c r="D134" s="112" t="s">
        <v>96</v>
      </c>
      <c r="E134" s="113" t="s">
        <v>118</v>
      </c>
    </row>
    <row r="135" spans="2:9" x14ac:dyDescent="0.45">
      <c r="C135" s="86" t="s">
        <v>101</v>
      </c>
      <c r="D135" s="10">
        <v>261205740.06173503</v>
      </c>
      <c r="E135" s="73"/>
    </row>
    <row r="136" spans="2:9" x14ac:dyDescent="0.45">
      <c r="C136" s="86" t="s">
        <v>102</v>
      </c>
      <c r="D136" s="10">
        <v>261205160.42847151</v>
      </c>
      <c r="E136" s="114">
        <f>D136-$D$135</f>
        <v>-579.63326352834702</v>
      </c>
    </row>
    <row r="137" spans="2:9" x14ac:dyDescent="0.45">
      <c r="C137" s="86" t="s">
        <v>103</v>
      </c>
      <c r="D137" s="10">
        <v>261204355.08432436</v>
      </c>
      <c r="E137" s="114">
        <f>D137-$D$135</f>
        <v>-1384.9774106740952</v>
      </c>
    </row>
    <row r="138" spans="2:9" x14ac:dyDescent="0.45">
      <c r="C138" s="86" t="s">
        <v>104</v>
      </c>
      <c r="D138" s="10">
        <v>261203791.33660778</v>
      </c>
      <c r="E138" s="114">
        <f>D138-$D$135</f>
        <v>-1948.7251272499561</v>
      </c>
    </row>
    <row r="139" spans="2:9" x14ac:dyDescent="0.45">
      <c r="C139" s="86" t="s">
        <v>105</v>
      </c>
      <c r="D139" s="10">
        <v>261203247.81029704</v>
      </c>
      <c r="E139" s="114">
        <f t="shared" ref="E139:E151" si="6">D139-$D$135</f>
        <v>-2492.2514379918575</v>
      </c>
    </row>
    <row r="140" spans="2:9" x14ac:dyDescent="0.45">
      <c r="C140" s="86" t="s">
        <v>106</v>
      </c>
      <c r="D140" s="10">
        <v>261202549.21124592</v>
      </c>
      <c r="E140" s="114">
        <f t="shared" si="6"/>
        <v>-3190.8504891097546</v>
      </c>
    </row>
    <row r="141" spans="2:9" x14ac:dyDescent="0.45">
      <c r="C141" s="86" t="s">
        <v>107</v>
      </c>
      <c r="D141" s="10">
        <v>261201909.14760527</v>
      </c>
      <c r="E141" s="114">
        <f t="shared" si="6"/>
        <v>-3830.9141297638416</v>
      </c>
    </row>
    <row r="142" spans="2:9" x14ac:dyDescent="0.45">
      <c r="C142" s="86" t="s">
        <v>108</v>
      </c>
      <c r="D142" s="10">
        <v>261201252.75321689</v>
      </c>
      <c r="E142" s="114">
        <f t="shared" si="6"/>
        <v>-4487.3085181415081</v>
      </c>
    </row>
    <row r="143" spans="2:9" x14ac:dyDescent="0.45">
      <c r="C143" s="86" t="s">
        <v>109</v>
      </c>
      <c r="D143" s="10">
        <v>261200522.83795273</v>
      </c>
      <c r="E143" s="114">
        <f t="shared" si="6"/>
        <v>-5217.2237823009491</v>
      </c>
    </row>
    <row r="144" spans="2:9" x14ac:dyDescent="0.45">
      <c r="C144" s="86" t="s">
        <v>110</v>
      </c>
      <c r="D144" s="10">
        <v>261199721.97910058</v>
      </c>
      <c r="E144" s="114">
        <f t="shared" si="6"/>
        <v>-6018.0826344490051</v>
      </c>
    </row>
    <row r="145" spans="3:5" x14ac:dyDescent="0.45">
      <c r="C145" s="86" t="s">
        <v>111</v>
      </c>
      <c r="D145" s="10">
        <v>261198886.63206887</v>
      </c>
      <c r="E145" s="114">
        <f t="shared" si="6"/>
        <v>-6853.4296661615372</v>
      </c>
    </row>
    <row r="146" spans="3:5" x14ac:dyDescent="0.45">
      <c r="C146" s="86" t="s">
        <v>112</v>
      </c>
      <c r="D146" s="10">
        <v>261197941.3191103</v>
      </c>
      <c r="E146" s="114">
        <f t="shared" si="6"/>
        <v>-7798.7426247298717</v>
      </c>
    </row>
    <row r="147" spans="3:5" x14ac:dyDescent="0.45">
      <c r="C147" s="86" t="s">
        <v>113</v>
      </c>
      <c r="D147" s="10">
        <v>261188560.9530268</v>
      </c>
      <c r="E147" s="114">
        <f t="shared" si="6"/>
        <v>-17179.108708232641</v>
      </c>
    </row>
    <row r="148" spans="3:5" x14ac:dyDescent="0.45">
      <c r="C148" s="86" t="s">
        <v>114</v>
      </c>
      <c r="D148" s="10">
        <v>261161064.03444201</v>
      </c>
      <c r="E148" s="114">
        <f t="shared" si="6"/>
        <v>-44676.027293026447</v>
      </c>
    </row>
    <row r="149" spans="3:5" x14ac:dyDescent="0.45">
      <c r="C149" s="86" t="s">
        <v>115</v>
      </c>
      <c r="D149" s="10">
        <v>261128480.23899823</v>
      </c>
      <c r="E149" s="114">
        <f t="shared" si="6"/>
        <v>-77259.822736799717</v>
      </c>
    </row>
    <row r="150" spans="3:5" x14ac:dyDescent="0.45">
      <c r="C150" s="86" t="s">
        <v>116</v>
      </c>
      <c r="D150" s="10">
        <v>261103952.09884551</v>
      </c>
      <c r="E150" s="114">
        <f t="shared" si="6"/>
        <v>-101787.96288952231</v>
      </c>
    </row>
    <row r="151" spans="3:5" ht="14.65" thickBot="1" x14ac:dyDescent="0.5">
      <c r="C151" s="91" t="s">
        <v>117</v>
      </c>
      <c r="D151" s="109">
        <v>261142285.2896226</v>
      </c>
      <c r="E151" s="115">
        <f t="shared" si="6"/>
        <v>-63454.772112429142</v>
      </c>
    </row>
    <row r="152" spans="3:5" x14ac:dyDescent="0.45">
      <c r="D152" s="60"/>
    </row>
  </sheetData>
  <mergeCells count="1">
    <mergeCell ref="C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CAAC5-26CE-4FE6-B3E0-2F2071CA3807}">
  <dimension ref="B1:X125"/>
  <sheetViews>
    <sheetView workbookViewId="0">
      <selection activeCell="I36" sqref="I36"/>
    </sheetView>
  </sheetViews>
  <sheetFormatPr defaultRowHeight="14.25" x14ac:dyDescent="0.45"/>
  <cols>
    <col min="3" max="3" width="9.06640625" style="1"/>
    <col min="4" max="4" width="9.59765625" customWidth="1"/>
    <col min="5" max="5" width="13.53125" customWidth="1"/>
    <col min="6" max="6" width="9.46484375" customWidth="1"/>
    <col min="8" max="8" width="9.06640625" style="3"/>
    <col min="9" max="9" width="12.33203125" style="3" customWidth="1"/>
    <col min="10" max="10" width="17.796875" bestFit="1" customWidth="1"/>
    <col min="11" max="11" width="17" style="2" bestFit="1" customWidth="1"/>
    <col min="12" max="12" width="23.53125" bestFit="1" customWidth="1"/>
    <col min="13" max="13" width="16.33203125" bestFit="1" customWidth="1"/>
    <col min="14" max="14" width="23.265625" bestFit="1" customWidth="1"/>
    <col min="15" max="15" width="21.6640625" bestFit="1" customWidth="1"/>
    <col min="16" max="16" width="15.3984375" bestFit="1" customWidth="1"/>
    <col min="17" max="17" width="10.73046875" bestFit="1" customWidth="1"/>
    <col min="21" max="21" width="15.46484375" bestFit="1" customWidth="1"/>
    <col min="22" max="22" width="22.3984375" bestFit="1" customWidth="1"/>
    <col min="23" max="23" width="15.19921875" customWidth="1"/>
    <col min="24" max="24" width="10.33203125" customWidth="1"/>
  </cols>
  <sheetData>
    <row r="1" spans="2:24" ht="14.65" thickBot="1" x14ac:dyDescent="0.5"/>
    <row r="2" spans="2:24" x14ac:dyDescent="0.45">
      <c r="B2" s="95" t="s">
        <v>36</v>
      </c>
      <c r="C2" s="96"/>
      <c r="D2" s="97"/>
      <c r="E2" s="68"/>
      <c r="F2" s="70"/>
      <c r="H2" s="66" t="s">
        <v>39</v>
      </c>
      <c r="I2" s="67"/>
      <c r="J2" s="68"/>
      <c r="K2" s="69"/>
      <c r="L2" s="68"/>
      <c r="M2" s="68"/>
      <c r="N2" s="68"/>
      <c r="O2" s="68"/>
      <c r="P2" s="68"/>
      <c r="Q2" s="68"/>
      <c r="R2" s="70"/>
      <c r="T2" s="85" t="s">
        <v>86</v>
      </c>
      <c r="U2" s="68"/>
      <c r="V2" s="68"/>
      <c r="W2" s="68"/>
      <c r="X2" s="70"/>
    </row>
    <row r="3" spans="2:24" x14ac:dyDescent="0.45">
      <c r="B3" s="86" t="s">
        <v>85</v>
      </c>
      <c r="C3" s="9"/>
      <c r="D3" s="55"/>
      <c r="E3" s="55"/>
      <c r="F3" s="73"/>
      <c r="H3" s="71"/>
      <c r="I3" s="72"/>
      <c r="J3" s="55"/>
      <c r="K3" s="7"/>
      <c r="L3" s="55"/>
      <c r="M3" s="45" t="s">
        <v>48</v>
      </c>
      <c r="N3" s="46"/>
      <c r="O3" s="55"/>
      <c r="P3" s="55"/>
      <c r="Q3" s="55"/>
      <c r="R3" s="73"/>
      <c r="T3" s="86"/>
      <c r="U3" s="55"/>
      <c r="V3" s="55"/>
      <c r="W3" s="55"/>
      <c r="X3" s="73"/>
    </row>
    <row r="4" spans="2:24" x14ac:dyDescent="0.45">
      <c r="B4" s="98" t="s">
        <v>0</v>
      </c>
      <c r="C4" s="15" t="s">
        <v>34</v>
      </c>
      <c r="D4" s="16" t="s">
        <v>35</v>
      </c>
      <c r="E4" s="99" t="s">
        <v>37</v>
      </c>
      <c r="F4" s="100" t="s">
        <v>38</v>
      </c>
      <c r="H4" s="74" t="s">
        <v>34</v>
      </c>
      <c r="I4" s="22" t="s">
        <v>40</v>
      </c>
      <c r="J4" s="23" t="s">
        <v>43</v>
      </c>
      <c r="K4" s="37" t="s">
        <v>42</v>
      </c>
      <c r="L4" s="24" t="s">
        <v>44</v>
      </c>
      <c r="M4" s="14" t="s">
        <v>45</v>
      </c>
      <c r="N4" s="16" t="s">
        <v>46</v>
      </c>
      <c r="O4" s="36" t="s">
        <v>49</v>
      </c>
      <c r="P4" s="36" t="s">
        <v>50</v>
      </c>
      <c r="Q4" s="36" t="s">
        <v>81</v>
      </c>
      <c r="R4" s="73" t="s">
        <v>38</v>
      </c>
      <c r="T4" s="87" t="s">
        <v>84</v>
      </c>
      <c r="U4" s="52" t="s">
        <v>45</v>
      </c>
      <c r="V4" s="52" t="s">
        <v>46</v>
      </c>
      <c r="W4" s="57" t="s">
        <v>37</v>
      </c>
      <c r="X4" s="88" t="s">
        <v>38</v>
      </c>
    </row>
    <row r="5" spans="2:24" x14ac:dyDescent="0.45">
      <c r="B5" s="86" t="s">
        <v>1</v>
      </c>
      <c r="C5" s="7">
        <f>1/365</f>
        <v>2.7397260273972603E-3</v>
      </c>
      <c r="D5" s="8">
        <v>1.403</v>
      </c>
      <c r="E5" s="101">
        <v>0.99996099999999999</v>
      </c>
      <c r="F5" s="102">
        <f>-LN(E5)/C5</f>
        <v>1.4235277589721462E-2</v>
      </c>
      <c r="H5" s="75">
        <v>0</v>
      </c>
      <c r="I5" s="25"/>
      <c r="J5" s="4"/>
      <c r="K5" s="38"/>
      <c r="L5" s="29"/>
      <c r="M5" s="4"/>
      <c r="N5" s="5"/>
      <c r="O5" s="27"/>
      <c r="P5" s="47" t="s">
        <v>51</v>
      </c>
      <c r="Q5" s="48">
        <f>-LN(O6)</f>
        <v>2.6470000000000014E-2</v>
      </c>
      <c r="R5" s="73"/>
      <c r="T5" s="89">
        <v>0</v>
      </c>
      <c r="U5" s="54">
        <v>0</v>
      </c>
      <c r="V5" s="54">
        <f>U5</f>
        <v>0</v>
      </c>
      <c r="W5" s="58">
        <f>EXP(V5)</f>
        <v>1</v>
      </c>
      <c r="X5" s="90"/>
    </row>
    <row r="6" spans="2:24" x14ac:dyDescent="0.45">
      <c r="B6" s="86" t="s">
        <v>2</v>
      </c>
      <c r="C6" s="7">
        <f>7/365</f>
        <v>1.9178082191780823E-2</v>
      </c>
      <c r="D6" s="8">
        <v>1.4046000000000001</v>
      </c>
      <c r="E6" s="101">
        <v>0.99972700000000003</v>
      </c>
      <c r="F6" s="102">
        <f t="shared" ref="F6:F37" si="0">-LN(E6)/C6</f>
        <v>1.4236943431210845E-2</v>
      </c>
      <c r="H6" s="76">
        <v>1</v>
      </c>
      <c r="I6" s="43">
        <v>0</v>
      </c>
      <c r="J6" s="40">
        <f>D19+I6/100</f>
        <v>2.6469999999999998</v>
      </c>
      <c r="K6" s="39">
        <f>Q5*100</f>
        <v>2.6470000000000016</v>
      </c>
      <c r="L6" s="32">
        <v>0.9738772597150861</v>
      </c>
      <c r="M6" s="20">
        <f>LN(L6)</f>
        <v>-2.6470000000000014E-2</v>
      </c>
      <c r="N6" s="34">
        <f>M6</f>
        <v>-2.6470000000000014E-2</v>
      </c>
      <c r="O6" s="30">
        <f>EXP(N6)</f>
        <v>0.9738772597150861</v>
      </c>
      <c r="P6" s="47" t="s">
        <v>52</v>
      </c>
      <c r="Q6" s="48">
        <f>LN(O6)-LN(O7)</f>
        <v>2.722020980373082E-2</v>
      </c>
      <c r="R6" s="77">
        <f>-LN(O6)/H6</f>
        <v>2.6470000000000014E-2</v>
      </c>
      <c r="T6" s="86">
        <v>1</v>
      </c>
      <c r="U6" s="55"/>
      <c r="V6" s="56">
        <f>V5+1/4*(U9-U5)</f>
        <v>-6.6175000000000036E-3</v>
      </c>
      <c r="W6" s="59">
        <f t="shared" ref="W6:W69" si="1">EXP(V6)</f>
        <v>0.99340434743476114</v>
      </c>
      <c r="X6" s="77">
        <f>-LN(W6)/(T6/4)</f>
        <v>2.6469999999999921E-2</v>
      </c>
    </row>
    <row r="7" spans="2:24" x14ac:dyDescent="0.45">
      <c r="B7" s="86" t="s">
        <v>3</v>
      </c>
      <c r="C7" s="7">
        <f>14/365</f>
        <v>3.8356164383561646E-2</v>
      </c>
      <c r="D7" s="8">
        <v>1.405</v>
      </c>
      <c r="E7" s="101">
        <v>0.99945399999999995</v>
      </c>
      <c r="F7" s="102">
        <f t="shared" si="0"/>
        <v>1.4238887570141145E-2</v>
      </c>
      <c r="H7" s="76">
        <v>2</v>
      </c>
      <c r="I7" s="43">
        <v>0</v>
      </c>
      <c r="J7" s="40">
        <f>D21+I7/100</f>
        <v>2.6840000000000002</v>
      </c>
      <c r="K7" s="39">
        <f>SUMPRODUCT($O$6:O7,$Q$5:Q6)/SUM($O$6:O7)*100</f>
        <v>2.6840000000000024</v>
      </c>
      <c r="L7" s="32">
        <v>0.94772565714723156</v>
      </c>
      <c r="M7" s="20">
        <f t="shared" ref="M7:M17" si="2">LN(L7)</f>
        <v>-5.3690209803730835E-2</v>
      </c>
      <c r="N7" s="34">
        <f t="shared" ref="N7:N17" si="3">M7</f>
        <v>-5.3690209803730835E-2</v>
      </c>
      <c r="O7" s="30">
        <f t="shared" ref="O7:O35" si="4">EXP(N7)</f>
        <v>0.94772565714723156</v>
      </c>
      <c r="P7" s="47" t="s">
        <v>53</v>
      </c>
      <c r="Q7" s="48">
        <f t="shared" ref="Q7:Q34" si="5">LN(O7)-LN(O8)</f>
        <v>2.3788206089248351E-2</v>
      </c>
      <c r="R7" s="77">
        <f t="shared" ref="R7:R35" si="6">-LN(O7)/H7</f>
        <v>2.6845104901865417E-2</v>
      </c>
      <c r="T7" s="86">
        <v>2</v>
      </c>
      <c r="U7" s="55"/>
      <c r="V7" s="56">
        <f>V5+2/4*(U9-U5)</f>
        <v>-1.3235000000000007E-2</v>
      </c>
      <c r="W7" s="59">
        <f t="shared" si="1"/>
        <v>0.98685219750228359</v>
      </c>
      <c r="X7" s="77">
        <f t="shared" ref="X7:X70" si="7">-LN(W7)/(T7/4)</f>
        <v>2.6469999999999973E-2</v>
      </c>
    </row>
    <row r="8" spans="2:24" x14ac:dyDescent="0.45">
      <c r="B8" s="86" t="s">
        <v>4</v>
      </c>
      <c r="C8" s="7">
        <f>1/12</f>
        <v>8.3333333333333329E-2</v>
      </c>
      <c r="D8" s="8">
        <v>1.5916999999999999</v>
      </c>
      <c r="E8" s="101">
        <v>0.99867499999999998</v>
      </c>
      <c r="F8" s="102">
        <f t="shared" si="0"/>
        <v>1.5910543064069218E-2</v>
      </c>
      <c r="H8" s="76">
        <v>3</v>
      </c>
      <c r="I8" s="43">
        <v>0</v>
      </c>
      <c r="J8" s="40">
        <f t="shared" ref="J8:J17" si="8">D22+I8/100</f>
        <v>2.5848</v>
      </c>
      <c r="K8" s="39">
        <f>SUMPRODUCT($O$6:O8,$Q$5:Q7)/SUM($O$6:O8)*100</f>
        <v>2.5847999999999978</v>
      </c>
      <c r="L8" s="32">
        <v>0.92544699912813899</v>
      </c>
      <c r="M8" s="20">
        <f t="shared" si="2"/>
        <v>-7.7478415892979186E-2</v>
      </c>
      <c r="N8" s="34">
        <f t="shared" si="3"/>
        <v>-7.7478415892979186E-2</v>
      </c>
      <c r="O8" s="30">
        <f t="shared" si="4"/>
        <v>0.92544699912813899</v>
      </c>
      <c r="P8" s="47" t="s">
        <v>54</v>
      </c>
      <c r="Q8" s="48">
        <f t="shared" si="5"/>
        <v>2.2456349898084579E-2</v>
      </c>
      <c r="R8" s="77">
        <f t="shared" si="6"/>
        <v>2.5826138630993062E-2</v>
      </c>
      <c r="T8" s="86">
        <v>3</v>
      </c>
      <c r="U8" s="55"/>
      <c r="V8" s="56">
        <f>V5+3/4*(U9-U5)</f>
        <v>-1.9852500000000009E-2</v>
      </c>
      <c r="W8" s="59">
        <f t="shared" si="1"/>
        <v>0.98034326327431598</v>
      </c>
      <c r="X8" s="77">
        <f t="shared" si="7"/>
        <v>2.6470000000000046E-2</v>
      </c>
    </row>
    <row r="9" spans="2:24" x14ac:dyDescent="0.45">
      <c r="B9" s="86" t="s">
        <v>5</v>
      </c>
      <c r="C9" s="9">
        <f>2/12</f>
        <v>0.16666666666666666</v>
      </c>
      <c r="D9" s="8">
        <v>1.82</v>
      </c>
      <c r="E9" s="101">
        <v>0.99688900000000003</v>
      </c>
      <c r="F9" s="102">
        <f t="shared" si="0"/>
        <v>1.8695095322368557E-2</v>
      </c>
      <c r="H9" s="76">
        <v>4</v>
      </c>
      <c r="I9" s="43">
        <v>0</v>
      </c>
      <c r="J9" s="40">
        <f t="shared" si="8"/>
        <v>2.5030000000000001</v>
      </c>
      <c r="K9" s="39">
        <f>SUMPRODUCT($O$6:O9,$Q$5:Q8)/SUM($O$6:O9)*100</f>
        <v>2.5030000000000014</v>
      </c>
      <c r="L9" s="32">
        <v>0.90489644631445165</v>
      </c>
      <c r="M9" s="20">
        <f t="shared" si="2"/>
        <v>-9.9934765791063765E-2</v>
      </c>
      <c r="N9" s="34">
        <f t="shared" si="3"/>
        <v>-9.9934765791063765E-2</v>
      </c>
      <c r="O9" s="30">
        <f t="shared" si="4"/>
        <v>0.90489644631445165</v>
      </c>
      <c r="P9" s="47" t="s">
        <v>55</v>
      </c>
      <c r="Q9" s="48">
        <f t="shared" si="5"/>
        <v>2.2713246188336061E-2</v>
      </c>
      <c r="R9" s="77">
        <f t="shared" si="6"/>
        <v>2.4983691447765941E-2</v>
      </c>
      <c r="T9" s="86">
        <v>4</v>
      </c>
      <c r="U9" s="56">
        <f>N6</f>
        <v>-2.6470000000000014E-2</v>
      </c>
      <c r="V9" s="56">
        <f>U9</f>
        <v>-2.6470000000000014E-2</v>
      </c>
      <c r="W9" s="59">
        <f t="shared" si="1"/>
        <v>0.9738772597150861</v>
      </c>
      <c r="X9" s="77">
        <f t="shared" si="7"/>
        <v>2.6470000000000014E-2</v>
      </c>
    </row>
    <row r="10" spans="2:24" x14ac:dyDescent="0.45">
      <c r="B10" s="86" t="s">
        <v>6</v>
      </c>
      <c r="C10" s="9">
        <f>3/12</f>
        <v>0.25</v>
      </c>
      <c r="D10" s="8">
        <v>1.9765999999999999</v>
      </c>
      <c r="E10" s="101">
        <v>0.99508300000000005</v>
      </c>
      <c r="F10" s="102">
        <f t="shared" si="0"/>
        <v>1.9716512868514779E-2</v>
      </c>
      <c r="H10" s="76">
        <v>5</v>
      </c>
      <c r="I10" s="43">
        <v>0</v>
      </c>
      <c r="J10" s="40">
        <f t="shared" si="8"/>
        <v>2.4588000000000001</v>
      </c>
      <c r="K10" s="39">
        <f>SUMPRODUCT($O$6:O10,$Q$5:Q9)/SUM($O$6:O10)*100</f>
        <v>2.4588000000000005</v>
      </c>
      <c r="L10" s="32">
        <v>0.88457496756169574</v>
      </c>
      <c r="M10" s="20">
        <f t="shared" si="2"/>
        <v>-0.12264801197939983</v>
      </c>
      <c r="N10" s="34">
        <f t="shared" si="3"/>
        <v>-0.12264801197939983</v>
      </c>
      <c r="O10" s="30">
        <f t="shared" si="4"/>
        <v>0.88457496756169574</v>
      </c>
      <c r="P10" s="47" t="s">
        <v>56</v>
      </c>
      <c r="Q10" s="48">
        <f t="shared" si="5"/>
        <v>2.2774753440924514E-2</v>
      </c>
      <c r="R10" s="77">
        <f t="shared" si="6"/>
        <v>2.4529602395879965E-2</v>
      </c>
      <c r="T10" s="86">
        <v>5</v>
      </c>
      <c r="U10" s="55"/>
      <c r="V10" s="56">
        <f>V9+1/4*(U13-U9)</f>
        <v>-3.3275052450932721E-2</v>
      </c>
      <c r="W10" s="59">
        <f t="shared" si="1"/>
        <v>0.96727247233249869</v>
      </c>
      <c r="X10" s="77">
        <f t="shared" si="7"/>
        <v>2.6620041960746195E-2</v>
      </c>
    </row>
    <row r="11" spans="2:24" x14ac:dyDescent="0.45">
      <c r="B11" s="86" t="s">
        <v>7</v>
      </c>
      <c r="C11" s="9">
        <f>4/12</f>
        <v>0.33333333333333331</v>
      </c>
      <c r="D11" s="8">
        <v>2.12</v>
      </c>
      <c r="E11" s="101">
        <v>0.99292499999999995</v>
      </c>
      <c r="F11" s="102">
        <f t="shared" si="0"/>
        <v>2.1300439470920453E-2</v>
      </c>
      <c r="H11" s="76">
        <v>6</v>
      </c>
      <c r="I11" s="43">
        <v>0</v>
      </c>
      <c r="J11" s="40">
        <f t="shared" si="8"/>
        <v>2.4302999999999999</v>
      </c>
      <c r="K11" s="39">
        <f>SUMPRODUCT($O$6:O11,$Q$5:Q10)/SUM($O$6:O11)*100</f>
        <v>2.4302999999999999</v>
      </c>
      <c r="L11" s="32">
        <v>0.86465666888948889</v>
      </c>
      <c r="M11" s="20">
        <f t="shared" si="2"/>
        <v>-0.14542276542032434</v>
      </c>
      <c r="N11" s="34">
        <f t="shared" si="3"/>
        <v>-0.14542276542032434</v>
      </c>
      <c r="O11" s="30">
        <f t="shared" si="4"/>
        <v>0.86465666888948889</v>
      </c>
      <c r="P11" s="47" t="s">
        <v>57</v>
      </c>
      <c r="Q11" s="48">
        <f t="shared" si="5"/>
        <v>2.3326385164178454E-2</v>
      </c>
      <c r="R11" s="77">
        <f t="shared" si="6"/>
        <v>2.4237127570054057E-2</v>
      </c>
      <c r="T11" s="86">
        <v>6</v>
      </c>
      <c r="U11" s="55"/>
      <c r="V11" s="56">
        <f>V9+2/4*(U13-U9)</f>
        <v>-4.0080104901865421E-2</v>
      </c>
      <c r="W11" s="59">
        <f t="shared" si="1"/>
        <v>0.96071247829109885</v>
      </c>
      <c r="X11" s="77">
        <f t="shared" si="7"/>
        <v>2.6720069934576946E-2</v>
      </c>
    </row>
    <row r="12" spans="2:24" x14ac:dyDescent="0.45">
      <c r="B12" s="86" t="s">
        <v>8</v>
      </c>
      <c r="C12" s="9">
        <f>5/12</f>
        <v>0.41666666666666669</v>
      </c>
      <c r="D12" s="8">
        <v>2.2360000000000002</v>
      </c>
      <c r="E12" s="101">
        <v>0.99082999999999999</v>
      </c>
      <c r="F12" s="102">
        <f t="shared" si="0"/>
        <v>2.2109527830099472E-2</v>
      </c>
      <c r="H12" s="76">
        <v>7</v>
      </c>
      <c r="I12" s="43">
        <v>0</v>
      </c>
      <c r="J12" s="40">
        <f t="shared" si="8"/>
        <v>2.4173</v>
      </c>
      <c r="K12" s="39">
        <f>SUMPRODUCT($O$6:O12,$Q$5:Q11)/SUM($O$6:O12)*100</f>
        <v>2.4172999999999991</v>
      </c>
      <c r="L12" s="32">
        <v>0.8447207745235954</v>
      </c>
      <c r="M12" s="20">
        <f t="shared" si="2"/>
        <v>-0.16874915058450279</v>
      </c>
      <c r="N12" s="34">
        <f t="shared" si="3"/>
        <v>-0.16874915058450279</v>
      </c>
      <c r="O12" s="30">
        <f t="shared" si="4"/>
        <v>0.8447207745235954</v>
      </c>
      <c r="P12" s="47" t="s">
        <v>58</v>
      </c>
      <c r="Q12" s="48">
        <f t="shared" si="5"/>
        <v>2.4303458545486684E-2</v>
      </c>
      <c r="R12" s="77">
        <f t="shared" si="6"/>
        <v>2.4107021512071829E-2</v>
      </c>
      <c r="T12" s="86">
        <v>7</v>
      </c>
      <c r="U12" s="55"/>
      <c r="V12" s="56">
        <f>V9+3/4*(U13-U9)</f>
        <v>-4.6885157352798128E-2</v>
      </c>
      <c r="W12" s="59">
        <f t="shared" si="1"/>
        <v>0.95419697380466317</v>
      </c>
      <c r="X12" s="77">
        <f t="shared" si="7"/>
        <v>2.6791518487313228E-2</v>
      </c>
    </row>
    <row r="13" spans="2:24" x14ac:dyDescent="0.45">
      <c r="B13" s="86" t="s">
        <v>9</v>
      </c>
      <c r="C13" s="9">
        <f>6/12</f>
        <v>0.5</v>
      </c>
      <c r="D13" s="8">
        <v>2.3422999999999998</v>
      </c>
      <c r="E13" s="101">
        <v>0.98829699999999998</v>
      </c>
      <c r="F13" s="102">
        <f t="shared" si="0"/>
        <v>2.3544038240275542E-2</v>
      </c>
      <c r="H13" s="76">
        <v>8</v>
      </c>
      <c r="I13" s="43">
        <v>0</v>
      </c>
      <c r="J13" s="40">
        <f t="shared" si="8"/>
        <v>2.4188000000000001</v>
      </c>
      <c r="K13" s="39">
        <f>SUMPRODUCT($O$6:O13,$Q$5:Q12)/SUM($O$6:O13)*100</f>
        <v>2.4187999999999983</v>
      </c>
      <c r="L13" s="32">
        <v>0.82443860000070457</v>
      </c>
      <c r="M13" s="20">
        <f t="shared" si="2"/>
        <v>-0.19305260912998948</v>
      </c>
      <c r="N13" s="34">
        <f t="shared" si="3"/>
        <v>-0.19305260912998948</v>
      </c>
      <c r="O13" s="30">
        <f t="shared" si="4"/>
        <v>0.82443860000070457</v>
      </c>
      <c r="P13" s="47" t="s">
        <v>59</v>
      </c>
      <c r="Q13" s="48">
        <f t="shared" si="5"/>
        <v>2.5299048409862884E-2</v>
      </c>
      <c r="R13" s="77">
        <f t="shared" si="6"/>
        <v>2.4131576141248685E-2</v>
      </c>
      <c r="T13" s="86">
        <v>8</v>
      </c>
      <c r="U13" s="56">
        <f>N7</f>
        <v>-5.3690209803730835E-2</v>
      </c>
      <c r="V13" s="56">
        <f>U13</f>
        <v>-5.3690209803730835E-2</v>
      </c>
      <c r="W13" s="59">
        <f t="shared" si="1"/>
        <v>0.94772565714723156</v>
      </c>
      <c r="X13" s="77">
        <f t="shared" si="7"/>
        <v>2.6845104901865417E-2</v>
      </c>
    </row>
    <row r="14" spans="2:24" x14ac:dyDescent="0.45">
      <c r="B14" s="86" t="s">
        <v>10</v>
      </c>
      <c r="C14" s="9">
        <f>7/12</f>
        <v>0.58333333333333337</v>
      </c>
      <c r="D14" s="8">
        <v>2.4235000000000002</v>
      </c>
      <c r="E14" s="101">
        <v>0.98592900000000006</v>
      </c>
      <c r="F14" s="102">
        <f t="shared" si="0"/>
        <v>2.4293031575658031E-2</v>
      </c>
      <c r="H14" s="76">
        <v>9</v>
      </c>
      <c r="I14" s="43">
        <v>0</v>
      </c>
      <c r="J14" s="40">
        <f t="shared" si="8"/>
        <v>2.4300000000000002</v>
      </c>
      <c r="K14" s="39">
        <f>SUMPRODUCT($O$6:O14,$Q$5:Q13)/SUM($O$6:O14)*100</f>
        <v>2.4299999999999993</v>
      </c>
      <c r="L14" s="32">
        <v>0.80384271460647527</v>
      </c>
      <c r="M14" s="20">
        <f t="shared" si="2"/>
        <v>-0.21835165753985236</v>
      </c>
      <c r="N14" s="34">
        <f t="shared" si="3"/>
        <v>-0.21835165753985236</v>
      </c>
      <c r="O14" s="30">
        <f t="shared" si="4"/>
        <v>0.80384271460647527</v>
      </c>
      <c r="P14" s="47" t="s">
        <v>60</v>
      </c>
      <c r="Q14" s="48">
        <f t="shared" si="5"/>
        <v>2.6010767802691653E-2</v>
      </c>
      <c r="R14" s="77">
        <f t="shared" si="6"/>
        <v>2.4261295282205816E-2</v>
      </c>
      <c r="T14" s="86">
        <v>9</v>
      </c>
      <c r="U14" s="55"/>
      <c r="V14" s="56">
        <f>V13+1/4*(U17-U13)</f>
        <v>-5.9637261326042926E-2</v>
      </c>
      <c r="W14" s="59">
        <f t="shared" si="1"/>
        <v>0.94210620996821359</v>
      </c>
      <c r="X14" s="77">
        <f t="shared" si="7"/>
        <v>2.6505449478241312E-2</v>
      </c>
    </row>
    <row r="15" spans="2:24" x14ac:dyDescent="0.45">
      <c r="B15" s="86" t="s">
        <v>11</v>
      </c>
      <c r="C15" s="9">
        <f>8/12</f>
        <v>0.66666666666666663</v>
      </c>
      <c r="D15" s="8">
        <v>2.4900000000000002</v>
      </c>
      <c r="E15" s="101">
        <v>0.98346999999999996</v>
      </c>
      <c r="F15" s="102">
        <f t="shared" si="0"/>
        <v>2.5002217384174873E-2</v>
      </c>
      <c r="H15" s="76">
        <v>10</v>
      </c>
      <c r="I15" s="43">
        <v>0</v>
      </c>
      <c r="J15" s="40">
        <f t="shared" si="8"/>
        <v>2.4453</v>
      </c>
      <c r="K15" s="39">
        <f>SUMPRODUCT($O$6:O15,$Q$5:Q14)/SUM($O$6:O15)*100</f>
        <v>2.4452999999999987</v>
      </c>
      <c r="L15" s="32">
        <v>0.78320372993880438</v>
      </c>
      <c r="M15" s="20">
        <f t="shared" si="2"/>
        <v>-0.24436242534254402</v>
      </c>
      <c r="N15" s="34">
        <f t="shared" si="3"/>
        <v>-0.24436242534254402</v>
      </c>
      <c r="O15" s="30">
        <f t="shared" si="4"/>
        <v>0.78320372993880438</v>
      </c>
      <c r="P15" s="47" t="s">
        <v>61</v>
      </c>
      <c r="Q15" s="48">
        <f t="shared" si="5"/>
        <v>2.6387472452082922E-2</v>
      </c>
      <c r="R15" s="77">
        <f t="shared" si="6"/>
        <v>2.4436242534254402E-2</v>
      </c>
      <c r="T15" s="86">
        <v>10</v>
      </c>
      <c r="U15" s="55"/>
      <c r="V15" s="56">
        <f>V13+2/4*(U17-U13)</f>
        <v>-6.5584312848355003E-2</v>
      </c>
      <c r="W15" s="59">
        <f t="shared" si="1"/>
        <v>0.93652008275511578</v>
      </c>
      <c r="X15" s="77">
        <f t="shared" si="7"/>
        <v>2.6233725139342016E-2</v>
      </c>
    </row>
    <row r="16" spans="2:24" x14ac:dyDescent="0.45">
      <c r="B16" s="86" t="s">
        <v>12</v>
      </c>
      <c r="C16" s="9">
        <f>9/12</f>
        <v>0.75</v>
      </c>
      <c r="D16" s="8">
        <v>2.544</v>
      </c>
      <c r="E16" s="101">
        <v>0.98100500000000002</v>
      </c>
      <c r="F16" s="102">
        <f t="shared" si="0"/>
        <v>2.5570296786404764E-2</v>
      </c>
      <c r="H16" s="76">
        <v>11</v>
      </c>
      <c r="I16" s="43">
        <v>0</v>
      </c>
      <c r="J16" s="40">
        <f t="shared" si="8"/>
        <v>2.4607999999999999</v>
      </c>
      <c r="K16" s="39">
        <f>SUMPRODUCT($O$6:O16,$Q$5:Q15)/SUM($O$6:O16)*100</f>
        <v>2.4607999999999994</v>
      </c>
      <c r="L16" s="32">
        <v>0.76280725232591406</v>
      </c>
      <c r="M16" s="20">
        <f t="shared" si="2"/>
        <v>-0.27074989779462694</v>
      </c>
      <c r="N16" s="34">
        <f t="shared" si="3"/>
        <v>-0.27074989779462694</v>
      </c>
      <c r="O16" s="30">
        <f t="shared" si="4"/>
        <v>0.76280725232591406</v>
      </c>
      <c r="P16" s="47" t="s">
        <v>62</v>
      </c>
      <c r="Q16" s="48">
        <f t="shared" si="5"/>
        <v>2.5947428515861293E-2</v>
      </c>
      <c r="R16" s="77">
        <f t="shared" si="6"/>
        <v>2.4613627072238811E-2</v>
      </c>
      <c r="T16" s="86">
        <v>11</v>
      </c>
      <c r="U16" s="55"/>
      <c r="V16" s="56">
        <f>V13+3/4*(U17-U13)</f>
        <v>-7.1531364370667094E-2</v>
      </c>
      <c r="W16" s="59">
        <f t="shared" si="1"/>
        <v>0.93096707794043843</v>
      </c>
      <c r="X16" s="77">
        <f t="shared" si="7"/>
        <v>2.6011405225697119E-2</v>
      </c>
    </row>
    <row r="17" spans="2:24" x14ac:dyDescent="0.45">
      <c r="B17" s="86" t="s">
        <v>13</v>
      </c>
      <c r="C17" s="9">
        <f>10/12</f>
        <v>0.83333333333333337</v>
      </c>
      <c r="D17" s="8">
        <v>2.5859000000000001</v>
      </c>
      <c r="E17" s="101">
        <v>0.98769899999999999</v>
      </c>
      <c r="F17" s="102">
        <f t="shared" si="0"/>
        <v>1.4852740226090405E-2</v>
      </c>
      <c r="H17" s="76">
        <v>12</v>
      </c>
      <c r="I17" s="43">
        <v>0</v>
      </c>
      <c r="J17" s="40">
        <f t="shared" si="8"/>
        <v>2.4704999999999999</v>
      </c>
      <c r="K17" s="39">
        <f>SUMPRODUCT($O$6:O17,$Q$5:Q16)/SUM($O$6:O17)*100</f>
        <v>2.4704999999999986</v>
      </c>
      <c r="L17" s="32">
        <v>0.74326894627370232</v>
      </c>
      <c r="M17" s="20">
        <f t="shared" si="2"/>
        <v>-0.29669732631048823</v>
      </c>
      <c r="N17" s="34">
        <f t="shared" si="3"/>
        <v>-0.29669732631048823</v>
      </c>
      <c r="O17" s="30">
        <f t="shared" si="4"/>
        <v>0.74326894627370232</v>
      </c>
      <c r="P17" s="47" t="s">
        <v>63</v>
      </c>
      <c r="Q17" s="48">
        <f t="shared" si="5"/>
        <v>2.4151179123362787E-2</v>
      </c>
      <c r="R17" s="77">
        <f t="shared" si="6"/>
        <v>2.4724777192540685E-2</v>
      </c>
      <c r="T17" s="86">
        <v>12</v>
      </c>
      <c r="U17" s="56">
        <f>N8</f>
        <v>-7.7478415892979186E-2</v>
      </c>
      <c r="V17" s="56">
        <f>U17</f>
        <v>-7.7478415892979186E-2</v>
      </c>
      <c r="W17" s="59">
        <f t="shared" si="1"/>
        <v>0.92544699912813899</v>
      </c>
      <c r="X17" s="77">
        <f t="shared" si="7"/>
        <v>2.5826138630993062E-2</v>
      </c>
    </row>
    <row r="18" spans="2:24" x14ac:dyDescent="0.45">
      <c r="B18" s="86" t="s">
        <v>14</v>
      </c>
      <c r="C18" s="9">
        <f>11/12</f>
        <v>0.91666666666666663</v>
      </c>
      <c r="D18" s="8">
        <v>2.6219999999999999</v>
      </c>
      <c r="E18" s="101">
        <v>0.97618199999999999</v>
      </c>
      <c r="F18" s="102">
        <f t="shared" si="0"/>
        <v>2.6297710411185386E-2</v>
      </c>
      <c r="H18" s="76">
        <v>13</v>
      </c>
      <c r="I18" s="26"/>
      <c r="J18" s="28"/>
      <c r="K18" s="8">
        <f>SUMPRODUCT($O$6:O18,$Q$5:Q17)/SUM($O$6:O18)*100</f>
        <v>2.4668434738497358</v>
      </c>
      <c r="L18" s="32"/>
      <c r="M18" s="6"/>
      <c r="N18" s="34">
        <f>N17+($M$20-$M$17)/($H$20-$H$17)</f>
        <v>-0.32084850543385096</v>
      </c>
      <c r="O18" s="30">
        <f t="shared" si="4"/>
        <v>0.72553315699569543</v>
      </c>
      <c r="P18" s="47" t="s">
        <v>64</v>
      </c>
      <c r="Q18" s="48">
        <f t="shared" si="5"/>
        <v>2.4151179123362676E-2</v>
      </c>
      <c r="R18" s="77">
        <f t="shared" si="6"/>
        <v>2.4680654264142385E-2</v>
      </c>
      <c r="T18" s="86">
        <v>13</v>
      </c>
      <c r="U18" s="55"/>
      <c r="V18" s="56">
        <f>V17+1/4*(U21-U17)</f>
        <v>-8.3092503367500334E-2</v>
      </c>
      <c r="W18" s="59">
        <f t="shared" si="1"/>
        <v>0.92026601557726662</v>
      </c>
      <c r="X18" s="77">
        <f t="shared" si="7"/>
        <v>2.5566924113077014E-2</v>
      </c>
    </row>
    <row r="19" spans="2:24" x14ac:dyDescent="0.45">
      <c r="B19" s="103" t="s">
        <v>15</v>
      </c>
      <c r="C19" s="17">
        <v>1</v>
      </c>
      <c r="D19" s="18">
        <v>2.6469999999999998</v>
      </c>
      <c r="E19" s="101">
        <v>0.97386399999999995</v>
      </c>
      <c r="F19" s="102">
        <f t="shared" si="0"/>
        <v>2.6483615478976201E-2</v>
      </c>
      <c r="H19" s="76">
        <v>14</v>
      </c>
      <c r="I19" s="26"/>
      <c r="J19" s="28"/>
      <c r="K19" s="8">
        <f>SUMPRODUCT($O$6:O19,$Q$5:Q18)/SUM($O$6:O19)*100</f>
        <v>2.463711693256847</v>
      </c>
      <c r="L19" s="32"/>
      <c r="M19" s="6"/>
      <c r="N19" s="34">
        <f t="shared" ref="N19:N20" si="9">N18+($M$20-$M$17)/($H$20-$H$17)</f>
        <v>-0.34499968455721369</v>
      </c>
      <c r="O19" s="30">
        <f t="shared" si="4"/>
        <v>0.70822057687083684</v>
      </c>
      <c r="P19" s="47" t="s">
        <v>65</v>
      </c>
      <c r="Q19" s="48">
        <f t="shared" si="5"/>
        <v>2.4151179123362732E-2</v>
      </c>
      <c r="R19" s="77">
        <f t="shared" si="6"/>
        <v>2.4642834611229548E-2</v>
      </c>
      <c r="T19" s="86">
        <v>14</v>
      </c>
      <c r="U19" s="55"/>
      <c r="V19" s="56">
        <f>V17+2/4*(U21-U17)</f>
        <v>-8.8706590842021482E-2</v>
      </c>
      <c r="W19" s="59">
        <f t="shared" si="1"/>
        <v>0.91511403702676664</v>
      </c>
      <c r="X19" s="77">
        <f t="shared" si="7"/>
        <v>2.5344740240577562E-2</v>
      </c>
    </row>
    <row r="20" spans="2:24" x14ac:dyDescent="0.45">
      <c r="B20" s="86" t="s">
        <v>16</v>
      </c>
      <c r="C20" s="9">
        <f>18/12</f>
        <v>1.5</v>
      </c>
      <c r="D20" s="8">
        <v>2.7012999999999998</v>
      </c>
      <c r="E20" s="101">
        <v>0.96013499999999996</v>
      </c>
      <c r="F20" s="102">
        <f t="shared" si="0"/>
        <v>2.7120919604682405E-2</v>
      </c>
      <c r="H20" s="76">
        <v>15</v>
      </c>
      <c r="I20" s="43">
        <v>0</v>
      </c>
      <c r="J20" s="40">
        <f>D32+I20/100</f>
        <v>2.4609999999999999</v>
      </c>
      <c r="K20" s="39">
        <f>SUMPRODUCT($O$6:O20,$Q$5:Q19)/SUM($O$6:O20)*100</f>
        <v>2.460999999999999</v>
      </c>
      <c r="L20" s="32">
        <v>0.69132110733601759</v>
      </c>
      <c r="M20" s="20">
        <f t="shared" ref="M20" si="10">LN(L20)</f>
        <v>-0.36915086368057642</v>
      </c>
      <c r="N20" s="34">
        <f t="shared" si="9"/>
        <v>-0.36915086368057642</v>
      </c>
      <c r="O20" s="30">
        <f t="shared" si="4"/>
        <v>0.69132110733601759</v>
      </c>
      <c r="P20" s="47" t="s">
        <v>66</v>
      </c>
      <c r="Q20" s="48">
        <f t="shared" si="5"/>
        <v>1.8190164632784278E-2</v>
      </c>
      <c r="R20" s="77">
        <f t="shared" si="6"/>
        <v>2.4610057578705095E-2</v>
      </c>
      <c r="T20" s="86">
        <v>15</v>
      </c>
      <c r="U20" s="55"/>
      <c r="V20" s="56">
        <f>V17+3/4*(U21-U17)</f>
        <v>-9.4320678316542617E-2</v>
      </c>
      <c r="W20" s="59">
        <f t="shared" si="1"/>
        <v>0.90999090109626513</v>
      </c>
      <c r="X20" s="77">
        <f t="shared" si="7"/>
        <v>2.5152180884411377E-2</v>
      </c>
    </row>
    <row r="21" spans="2:24" x14ac:dyDescent="0.45">
      <c r="B21" s="103" t="s">
        <v>17</v>
      </c>
      <c r="C21" s="17">
        <v>2</v>
      </c>
      <c r="D21" s="18">
        <v>2.6840000000000002</v>
      </c>
      <c r="E21" s="101">
        <v>0.94770900000000002</v>
      </c>
      <c r="F21" s="102">
        <f t="shared" si="0"/>
        <v>2.6853892937458813E-2</v>
      </c>
      <c r="H21" s="76">
        <v>16</v>
      </c>
      <c r="I21" s="26"/>
      <c r="J21" s="28"/>
      <c r="K21" s="8">
        <f>SUMPRODUCT($O$6:O21,$Q$5:Q20)/SUM($O$6:O21)*100</f>
        <v>2.4276485422968395</v>
      </c>
      <c r="L21" s="32"/>
      <c r="M21" s="6"/>
      <c r="N21" s="34">
        <f>N20+($M$25-$M$20)/($H$25-$H$20)</f>
        <v>-0.3873410283133607</v>
      </c>
      <c r="O21" s="30">
        <f t="shared" si="4"/>
        <v>0.6788595451206797</v>
      </c>
      <c r="P21" s="47" t="s">
        <v>67</v>
      </c>
      <c r="Q21" s="48">
        <f t="shared" si="5"/>
        <v>1.8190164632784223E-2</v>
      </c>
      <c r="R21" s="77">
        <f t="shared" si="6"/>
        <v>2.4208814269585044E-2</v>
      </c>
      <c r="T21" s="86">
        <v>16</v>
      </c>
      <c r="U21" s="56">
        <f>N9</f>
        <v>-9.9934765791063765E-2</v>
      </c>
      <c r="V21" s="56">
        <f>U21</f>
        <v>-9.9934765791063765E-2</v>
      </c>
      <c r="W21" s="59">
        <f t="shared" si="1"/>
        <v>0.90489644631445165</v>
      </c>
      <c r="X21" s="77">
        <f t="shared" si="7"/>
        <v>2.4983691447765941E-2</v>
      </c>
    </row>
    <row r="22" spans="2:24" x14ac:dyDescent="0.45">
      <c r="B22" s="103" t="s">
        <v>18</v>
      </c>
      <c r="C22" s="17">
        <v>3</v>
      </c>
      <c r="D22" s="18">
        <v>2.5848</v>
      </c>
      <c r="E22" s="101">
        <v>0.92545599999999995</v>
      </c>
      <c r="F22" s="102">
        <f t="shared" si="0"/>
        <v>2.582289665599842E-2</v>
      </c>
      <c r="H22" s="76">
        <v>17</v>
      </c>
      <c r="I22" s="26"/>
      <c r="J22" s="28"/>
      <c r="K22" s="8">
        <f>SUMPRODUCT($O$6:O22,$Q$5:Q21)/SUM($O$6:O22)*100</f>
        <v>2.3981067188395144</v>
      </c>
      <c r="L22" s="32"/>
      <c r="M22" s="6"/>
      <c r="N22" s="34">
        <f t="shared" ref="N22:N25" si="11">N21+($M$25-$M$20)/($H$25-$H$20)</f>
        <v>-0.40553119294614498</v>
      </c>
      <c r="O22" s="30">
        <f t="shared" si="4"/>
        <v>0.66662261156371616</v>
      </c>
      <c r="P22" s="47" t="s">
        <v>68</v>
      </c>
      <c r="Q22" s="48">
        <f t="shared" si="5"/>
        <v>1.8190164632784278E-2</v>
      </c>
      <c r="R22" s="77">
        <f t="shared" si="6"/>
        <v>2.3854776055655585E-2</v>
      </c>
      <c r="T22" s="86">
        <v>17</v>
      </c>
      <c r="U22" s="55"/>
      <c r="V22" s="56">
        <f>V21+1/4*(U25-U21)</f>
        <v>-0.10561307733814779</v>
      </c>
      <c r="W22" s="59">
        <f t="shared" si="1"/>
        <v>0.89977272318962531</v>
      </c>
      <c r="X22" s="77">
        <f t="shared" si="7"/>
        <v>2.4850135844270073E-2</v>
      </c>
    </row>
    <row r="23" spans="2:24" x14ac:dyDescent="0.45">
      <c r="B23" s="103" t="s">
        <v>19</v>
      </c>
      <c r="C23" s="17">
        <v>4</v>
      </c>
      <c r="D23" s="18">
        <v>2.5030000000000001</v>
      </c>
      <c r="E23" s="101">
        <v>0.90472799999999998</v>
      </c>
      <c r="F23" s="102">
        <f t="shared" si="0"/>
        <v>2.5030233235837283E-2</v>
      </c>
      <c r="H23" s="76">
        <v>18</v>
      </c>
      <c r="I23" s="26"/>
      <c r="J23" s="28"/>
      <c r="K23" s="8">
        <f>SUMPRODUCT($O$6:O23,$Q$5:Q22)/SUM($O$6:O23)*100</f>
        <v>2.3717611750146501</v>
      </c>
      <c r="L23" s="32"/>
      <c r="M23" s="6"/>
      <c r="N23" s="34">
        <f t="shared" si="11"/>
        <v>-0.42372135757892926</v>
      </c>
      <c r="O23" s="30">
        <f t="shared" si="4"/>
        <v>0.65460625757133828</v>
      </c>
      <c r="P23" s="47" t="s">
        <v>69</v>
      </c>
      <c r="Q23" s="48">
        <f t="shared" si="5"/>
        <v>1.8190164632784389E-2</v>
      </c>
      <c r="R23" s="77">
        <f t="shared" si="6"/>
        <v>2.3540075421051621E-2</v>
      </c>
      <c r="T23" s="86">
        <v>18</v>
      </c>
      <c r="U23" s="55"/>
      <c r="V23" s="56">
        <f>V21+2/4*(U25-U21)</f>
        <v>-0.1112913888852318</v>
      </c>
      <c r="W23" s="59">
        <f t="shared" si="1"/>
        <v>0.89467801171443784</v>
      </c>
      <c r="X23" s="77">
        <f t="shared" si="7"/>
        <v>2.4731419752273737E-2</v>
      </c>
    </row>
    <row r="24" spans="2:24" x14ac:dyDescent="0.45">
      <c r="B24" s="103" t="s">
        <v>20</v>
      </c>
      <c r="C24" s="17">
        <v>5</v>
      </c>
      <c r="D24" s="18">
        <v>2.4588000000000001</v>
      </c>
      <c r="E24" s="101">
        <v>0.88436499999999996</v>
      </c>
      <c r="F24" s="102">
        <f t="shared" si="0"/>
        <v>2.4577081126991744E-2</v>
      </c>
      <c r="H24" s="76">
        <v>19</v>
      </c>
      <c r="I24" s="26"/>
      <c r="J24" s="28"/>
      <c r="K24" s="8">
        <f>SUMPRODUCT($O$6:O24,$Q$5:Q23)/SUM($O$6:O24)*100</f>
        <v>2.3481235102907716</v>
      </c>
      <c r="L24" s="32"/>
      <c r="M24" s="6"/>
      <c r="N24" s="34">
        <f t="shared" si="11"/>
        <v>-0.44191152221171354</v>
      </c>
      <c r="O24" s="30">
        <f t="shared" si="4"/>
        <v>0.64280650703759701</v>
      </c>
      <c r="P24" s="47" t="s">
        <v>70</v>
      </c>
      <c r="Q24" s="48">
        <f t="shared" si="5"/>
        <v>1.8190164632784334E-2</v>
      </c>
      <c r="R24" s="77">
        <f t="shared" si="6"/>
        <v>2.3258501169037559E-2</v>
      </c>
      <c r="T24" s="86">
        <v>19</v>
      </c>
      <c r="U24" s="55"/>
      <c r="V24" s="56">
        <f>V21+3/4*(U25-U21)</f>
        <v>-0.1169697004323158</v>
      </c>
      <c r="W24" s="59">
        <f t="shared" si="1"/>
        <v>0.88961214761853458</v>
      </c>
      <c r="X24" s="77">
        <f t="shared" si="7"/>
        <v>2.4625200091013849E-2</v>
      </c>
    </row>
    <row r="25" spans="2:24" x14ac:dyDescent="0.45">
      <c r="B25" s="103" t="s">
        <v>21</v>
      </c>
      <c r="C25" s="17">
        <v>6</v>
      </c>
      <c r="D25" s="18">
        <v>2.4302999999999999</v>
      </c>
      <c r="E25" s="101">
        <v>0.86434999999999995</v>
      </c>
      <c r="F25" s="102">
        <f t="shared" si="0"/>
        <v>2.4296249935556891E-2</v>
      </c>
      <c r="H25" s="76">
        <v>20</v>
      </c>
      <c r="I25" s="43">
        <v>0</v>
      </c>
      <c r="J25" s="40">
        <f>D33+I25/100</f>
        <v>2.3268</v>
      </c>
      <c r="K25" s="39">
        <f>SUMPRODUCT($O$6:O25,$Q$5:Q24)/SUM($O$6:O25)*100</f>
        <v>2.3267999999999995</v>
      </c>
      <c r="L25" s="32">
        <v>0.63121945552872472</v>
      </c>
      <c r="M25" s="20">
        <f t="shared" ref="M25" si="12">LN(L25)</f>
        <v>-0.46010168684449793</v>
      </c>
      <c r="N25" s="34">
        <f t="shared" si="11"/>
        <v>-0.46010168684449781</v>
      </c>
      <c r="O25" s="30">
        <f t="shared" si="4"/>
        <v>0.63121945552872472</v>
      </c>
      <c r="P25" s="47" t="s">
        <v>71</v>
      </c>
      <c r="Q25" s="48">
        <f t="shared" si="5"/>
        <v>1.3102784786625632E-2</v>
      </c>
      <c r="R25" s="77">
        <f t="shared" si="6"/>
        <v>2.3005084342224896E-2</v>
      </c>
      <c r="T25" s="86">
        <v>20</v>
      </c>
      <c r="U25" s="56">
        <f>N10</f>
        <v>-0.12264801197939983</v>
      </c>
      <c r="V25" s="56">
        <f>U25</f>
        <v>-0.12264801197939983</v>
      </c>
      <c r="W25" s="59">
        <f t="shared" si="1"/>
        <v>0.88457496756169574</v>
      </c>
      <c r="X25" s="77">
        <f t="shared" si="7"/>
        <v>2.4529602395879965E-2</v>
      </c>
    </row>
    <row r="26" spans="2:24" x14ac:dyDescent="0.45">
      <c r="B26" s="103" t="s">
        <v>22</v>
      </c>
      <c r="C26" s="17">
        <v>7</v>
      </c>
      <c r="D26" s="18">
        <v>2.4173</v>
      </c>
      <c r="E26" s="101">
        <v>0.84438100000000005</v>
      </c>
      <c r="F26" s="102">
        <f t="shared" si="0"/>
        <v>2.4164494920771391E-2</v>
      </c>
      <c r="H26" s="76">
        <v>21</v>
      </c>
      <c r="I26" s="26"/>
      <c r="J26" s="28"/>
      <c r="K26" s="8">
        <f>SUMPRODUCT($O$6:O26,$Q$5:Q25)/SUM($O$6:O26)*100</f>
        <v>2.2879132776653757</v>
      </c>
      <c r="L26" s="32"/>
      <c r="M26" s="6"/>
      <c r="N26" s="34">
        <f>N25+($M$30-$M$25)/($H$30-$H$25)</f>
        <v>-0.47320447163112361</v>
      </c>
      <c r="O26" s="30">
        <f t="shared" si="4"/>
        <v>0.62300267178082713</v>
      </c>
      <c r="P26" s="47" t="s">
        <v>72</v>
      </c>
      <c r="Q26" s="48">
        <f t="shared" si="5"/>
        <v>1.3102784786625743E-2</v>
      </c>
      <c r="R26" s="77">
        <f t="shared" si="6"/>
        <v>2.2533546268148741E-2</v>
      </c>
      <c r="T26" s="86">
        <v>21</v>
      </c>
      <c r="U26" s="55"/>
      <c r="V26" s="56">
        <f>V25+1/4*(U29-U25)</f>
        <v>-0.12834170033963097</v>
      </c>
      <c r="W26" s="59">
        <f t="shared" si="1"/>
        <v>0.87955278430576866</v>
      </c>
      <c r="X26" s="77">
        <f t="shared" si="7"/>
        <v>2.4446038159929712E-2</v>
      </c>
    </row>
    <row r="27" spans="2:24" x14ac:dyDescent="0.45">
      <c r="B27" s="103" t="s">
        <v>23</v>
      </c>
      <c r="C27" s="17">
        <v>8</v>
      </c>
      <c r="D27" s="18">
        <v>2.4188000000000001</v>
      </c>
      <c r="E27" s="101">
        <v>0.82413000000000003</v>
      </c>
      <c r="F27" s="102">
        <f t="shared" si="0"/>
        <v>2.4178374315784609E-2</v>
      </c>
      <c r="H27" s="76">
        <v>22</v>
      </c>
      <c r="I27" s="26"/>
      <c r="J27" s="28"/>
      <c r="K27" s="8">
        <f>SUMPRODUCT($O$6:O27,$Q$5:Q26)/SUM($O$6:O27)*100</f>
        <v>2.2523439717591689</v>
      </c>
      <c r="L27" s="32"/>
      <c r="M27" s="6"/>
      <c r="N27" s="34">
        <f t="shared" ref="N27:N30" si="13">N26+($M$30-$M$25)/($H$30-$H$25)</f>
        <v>-0.48630725641774941</v>
      </c>
      <c r="O27" s="30">
        <f t="shared" si="4"/>
        <v>0.61489284851167958</v>
      </c>
      <c r="P27" s="47" t="s">
        <v>73</v>
      </c>
      <c r="Q27" s="48">
        <f t="shared" si="5"/>
        <v>1.3102784786625965E-2</v>
      </c>
      <c r="R27" s="77">
        <f t="shared" si="6"/>
        <v>2.2104875291715877E-2</v>
      </c>
      <c r="T27" s="86">
        <v>22</v>
      </c>
      <c r="U27" s="55"/>
      <c r="V27" s="56">
        <f>V25+2/4*(U29-U25)</f>
        <v>-0.13403538869986209</v>
      </c>
      <c r="W27" s="59">
        <f t="shared" si="1"/>
        <v>0.87455911454567981</v>
      </c>
      <c r="X27" s="77">
        <f t="shared" si="7"/>
        <v>2.4370070672702197E-2</v>
      </c>
    </row>
    <row r="28" spans="2:24" x14ac:dyDescent="0.45">
      <c r="B28" s="103" t="s">
        <v>24</v>
      </c>
      <c r="C28" s="17">
        <v>9</v>
      </c>
      <c r="D28" s="18">
        <v>2.4300000000000002</v>
      </c>
      <c r="E28" s="101">
        <v>0.80356799999999995</v>
      </c>
      <c r="F28" s="102">
        <f t="shared" si="0"/>
        <v>2.4299274182288718E-2</v>
      </c>
      <c r="H28" s="76">
        <v>23</v>
      </c>
      <c r="I28" s="26"/>
      <c r="J28" s="28"/>
      <c r="K28" s="8">
        <f>SUMPRODUCT($O$6:O28,$Q$5:Q27)/SUM($O$6:O28)*100</f>
        <v>2.2196876257025324</v>
      </c>
      <c r="L28" s="32"/>
      <c r="M28" s="6"/>
      <c r="N28" s="34">
        <f t="shared" si="13"/>
        <v>-0.49941004120437521</v>
      </c>
      <c r="O28" s="30">
        <f t="shared" si="4"/>
        <v>0.60688859338282386</v>
      </c>
      <c r="P28" s="47" t="s">
        <v>74</v>
      </c>
      <c r="Q28" s="48">
        <f t="shared" si="5"/>
        <v>1.3102784786625743E-2</v>
      </c>
      <c r="R28" s="77">
        <f t="shared" si="6"/>
        <v>2.1713480052364141E-2</v>
      </c>
      <c r="T28" s="86">
        <v>23</v>
      </c>
      <c r="U28" s="55"/>
      <c r="V28" s="56">
        <f>V25+3/4*(U29-U25)</f>
        <v>-0.13972907706009322</v>
      </c>
      <c r="W28" s="59">
        <f t="shared" si="1"/>
        <v>0.86959379639577028</v>
      </c>
      <c r="X28" s="77">
        <f t="shared" si="7"/>
        <v>2.4300709053929264E-2</v>
      </c>
    </row>
    <row r="29" spans="2:24" x14ac:dyDescent="0.45">
      <c r="B29" s="103" t="s">
        <v>25</v>
      </c>
      <c r="C29" s="17">
        <v>10</v>
      </c>
      <c r="D29" s="18">
        <v>2.4453</v>
      </c>
      <c r="E29" s="101">
        <v>0.78276900000000005</v>
      </c>
      <c r="F29" s="102">
        <f t="shared" si="0"/>
        <v>2.4491764567513456E-2</v>
      </c>
      <c r="H29" s="76">
        <v>24</v>
      </c>
      <c r="I29" s="26"/>
      <c r="J29" s="28"/>
      <c r="K29" s="8">
        <f>SUMPRODUCT($O$6:O29,$Q$5:Q28)/SUM($O$6:O29)*100</f>
        <v>2.1896029599558826</v>
      </c>
      <c r="L29" s="32"/>
      <c r="M29" s="6"/>
      <c r="N29" s="34">
        <f t="shared" si="13"/>
        <v>-0.51251282599100101</v>
      </c>
      <c r="O29" s="30">
        <f t="shared" si="4"/>
        <v>0.59898853218031312</v>
      </c>
      <c r="P29" s="47" t="s">
        <v>75</v>
      </c>
      <c r="Q29" s="48">
        <f t="shared" si="5"/>
        <v>1.3102784786625632E-2</v>
      </c>
      <c r="R29" s="77">
        <f t="shared" si="6"/>
        <v>2.1354701082958377E-2</v>
      </c>
      <c r="T29" s="86">
        <v>24</v>
      </c>
      <c r="U29" s="56">
        <f>N11</f>
        <v>-0.14542276542032434</v>
      </c>
      <c r="V29" s="56">
        <f>U29</f>
        <v>-0.14542276542032434</v>
      </c>
      <c r="W29" s="59">
        <f t="shared" si="1"/>
        <v>0.86465666888948889</v>
      </c>
      <c r="X29" s="77">
        <f t="shared" si="7"/>
        <v>2.4237127570054057E-2</v>
      </c>
    </row>
    <row r="30" spans="2:24" x14ac:dyDescent="0.45">
      <c r="B30" s="103" t="s">
        <v>26</v>
      </c>
      <c r="C30" s="17">
        <v>11</v>
      </c>
      <c r="D30" s="18">
        <v>2.4607999999999999</v>
      </c>
      <c r="E30" s="101">
        <v>0.76237200000000005</v>
      </c>
      <c r="F30" s="102">
        <f t="shared" si="0"/>
        <v>2.4665513949507469E-2</v>
      </c>
      <c r="H30" s="76">
        <v>25</v>
      </c>
      <c r="I30" s="43">
        <v>0</v>
      </c>
      <c r="J30" s="40">
        <f>D34+I30/100</f>
        <v>2.1617999999999999</v>
      </c>
      <c r="K30" s="39">
        <f>SUMPRODUCT($O$6:O30,$Q$5:Q29)/SUM($O$6:O30)*100</f>
        <v>2.1617999999999991</v>
      </c>
      <c r="L30" s="32">
        <v>0.59119130857877866</v>
      </c>
      <c r="M30" s="20">
        <f t="shared" ref="M30" si="14">LN(L30)</f>
        <v>-0.52561561077762686</v>
      </c>
      <c r="N30" s="34">
        <f t="shared" si="13"/>
        <v>-0.52561561077762675</v>
      </c>
      <c r="O30" s="30">
        <f t="shared" si="4"/>
        <v>0.59119130857877877</v>
      </c>
      <c r="P30" s="47" t="s">
        <v>76</v>
      </c>
      <c r="Q30" s="48">
        <f t="shared" si="5"/>
        <v>1.129963230805775E-2</v>
      </c>
      <c r="R30" s="77">
        <f t="shared" si="6"/>
        <v>2.1024624431105067E-2</v>
      </c>
      <c r="T30" s="86">
        <v>25</v>
      </c>
      <c r="U30" s="55"/>
      <c r="V30" s="56">
        <f>V29+1/4*(U33-U29)</f>
        <v>-0.15125436171136897</v>
      </c>
      <c r="W30" s="59">
        <f t="shared" si="1"/>
        <v>0.85962901414072113</v>
      </c>
      <c r="X30" s="77">
        <f t="shared" si="7"/>
        <v>2.4200697873819035E-2</v>
      </c>
    </row>
    <row r="31" spans="2:24" x14ac:dyDescent="0.45">
      <c r="B31" s="103" t="s">
        <v>27</v>
      </c>
      <c r="C31" s="17">
        <v>12</v>
      </c>
      <c r="D31" s="18">
        <v>2.4704999999999999</v>
      </c>
      <c r="E31" s="101">
        <v>0.74282400000000004</v>
      </c>
      <c r="F31" s="102">
        <f t="shared" si="0"/>
        <v>2.4774678320653571E-2</v>
      </c>
      <c r="H31" s="76">
        <v>26</v>
      </c>
      <c r="I31" s="26"/>
      <c r="J31" s="28"/>
      <c r="K31" s="8">
        <f>SUMPRODUCT($O$6:O31,$Q$5:Q30)/SUM($O$6:O31)*100</f>
        <v>2.1305193370709743</v>
      </c>
      <c r="L31" s="32"/>
      <c r="M31" s="6"/>
      <c r="N31" s="34">
        <f>N30+($M$35-$M$30)/($H$35-$H$30)</f>
        <v>-0.53691524308568439</v>
      </c>
      <c r="O31" s="30">
        <f t="shared" si="4"/>
        <v>0.58454866456409627</v>
      </c>
      <c r="P31" s="47" t="s">
        <v>77</v>
      </c>
      <c r="Q31" s="48">
        <f t="shared" si="5"/>
        <v>1.1299632308057639E-2</v>
      </c>
      <c r="R31" s="77">
        <f t="shared" si="6"/>
        <v>2.0650586272526323E-2</v>
      </c>
      <c r="T31" s="86">
        <v>26</v>
      </c>
      <c r="U31" s="55"/>
      <c r="V31" s="56">
        <f>V29+2/4*(U33-U29)</f>
        <v>-0.15708595800241357</v>
      </c>
      <c r="W31" s="59">
        <f t="shared" si="1"/>
        <v>0.85463059332165325</v>
      </c>
      <c r="X31" s="77">
        <f t="shared" si="7"/>
        <v>2.4167070461909777E-2</v>
      </c>
    </row>
    <row r="32" spans="2:24" x14ac:dyDescent="0.45">
      <c r="B32" s="103" t="s">
        <v>28</v>
      </c>
      <c r="C32" s="17">
        <v>15</v>
      </c>
      <c r="D32" s="18">
        <v>2.4609999999999999</v>
      </c>
      <c r="E32" s="101">
        <v>0.69081899999999996</v>
      </c>
      <c r="F32" s="102">
        <f t="shared" si="0"/>
        <v>2.4658495249670676E-2</v>
      </c>
      <c r="H32" s="76">
        <v>27</v>
      </c>
      <c r="I32" s="26"/>
      <c r="J32" s="28"/>
      <c r="K32" s="8">
        <f>SUMPRODUCT($O$6:O32,$Q$5:Q31)/SUM($O$6:O32)*100</f>
        <v>2.1014006096574644</v>
      </c>
      <c r="L32" s="32"/>
      <c r="M32" s="6"/>
      <c r="N32" s="34">
        <f t="shared" ref="N32:N35" si="15">N31+($M$35-$M$30)/($H$35-$H$30)</f>
        <v>-0.54821487539374203</v>
      </c>
      <c r="O32" s="30">
        <f t="shared" si="4"/>
        <v>0.57798065750510907</v>
      </c>
      <c r="P32" s="47" t="s">
        <v>78</v>
      </c>
      <c r="Q32" s="48">
        <f t="shared" si="5"/>
        <v>1.1299632308057639E-2</v>
      </c>
      <c r="R32" s="77">
        <f t="shared" si="6"/>
        <v>2.0304254644212667E-2</v>
      </c>
      <c r="T32" s="86">
        <v>27</v>
      </c>
      <c r="U32" s="55"/>
      <c r="V32" s="56">
        <f>V29+3/4*(U33-U29)</f>
        <v>-0.16291755429345817</v>
      </c>
      <c r="W32" s="59">
        <f t="shared" si="1"/>
        <v>0.8496612364479309</v>
      </c>
      <c r="X32" s="77">
        <f t="shared" si="7"/>
        <v>2.4135933969401217E-2</v>
      </c>
    </row>
    <row r="33" spans="2:24" x14ac:dyDescent="0.45">
      <c r="B33" s="103" t="s">
        <v>29</v>
      </c>
      <c r="C33" s="17">
        <v>20</v>
      </c>
      <c r="D33" s="18">
        <v>2.3268</v>
      </c>
      <c r="E33" s="101">
        <v>0.63075999999999999</v>
      </c>
      <c r="F33" s="102">
        <f t="shared" si="0"/>
        <v>2.304149187223755E-2</v>
      </c>
      <c r="H33" s="76">
        <v>28</v>
      </c>
      <c r="I33" s="26"/>
      <c r="J33" s="28"/>
      <c r="K33" s="8">
        <f>SUMPRODUCT($O$6:O33,$Q$5:Q32)/SUM($O$6:O33)*100</f>
        <v>2.0742288506682551</v>
      </c>
      <c r="L33" s="32"/>
      <c r="M33" s="6"/>
      <c r="N33" s="34">
        <f t="shared" si="15"/>
        <v>-0.55951450770179967</v>
      </c>
      <c r="O33" s="30">
        <f t="shared" si="4"/>
        <v>0.57148644877865085</v>
      </c>
      <c r="P33" s="47" t="s">
        <v>79</v>
      </c>
      <c r="Q33" s="48">
        <f t="shared" si="5"/>
        <v>1.1299632308057639E-2</v>
      </c>
      <c r="R33" s="77">
        <f t="shared" si="6"/>
        <v>1.9982660989349987E-2</v>
      </c>
      <c r="T33" s="86">
        <v>28</v>
      </c>
      <c r="U33" s="56">
        <f>N12</f>
        <v>-0.16874915058450279</v>
      </c>
      <c r="V33" s="56">
        <f>U33</f>
        <v>-0.16874915058450279</v>
      </c>
      <c r="W33" s="59">
        <f t="shared" si="1"/>
        <v>0.8447207745235954</v>
      </c>
      <c r="X33" s="77">
        <f t="shared" si="7"/>
        <v>2.4107021512071829E-2</v>
      </c>
    </row>
    <row r="34" spans="2:24" x14ac:dyDescent="0.45">
      <c r="B34" s="103" t="s">
        <v>30</v>
      </c>
      <c r="C34" s="17">
        <v>25</v>
      </c>
      <c r="D34" s="18">
        <v>2.1617999999999999</v>
      </c>
      <c r="E34" s="101">
        <v>0.59051100000000001</v>
      </c>
      <c r="F34" s="102">
        <f t="shared" si="0"/>
        <v>2.1070680609484266E-2</v>
      </c>
      <c r="H34" s="76">
        <v>29</v>
      </c>
      <c r="I34" s="26"/>
      <c r="J34" s="28"/>
      <c r="K34" s="8">
        <f>SUMPRODUCT($O$6:O34,$Q$5:Q33)/SUM($O$6:O34)*100</f>
        <v>2.0488166764602278</v>
      </c>
      <c r="L34" s="32"/>
      <c r="M34" s="6"/>
      <c r="N34" s="34">
        <f t="shared" si="15"/>
        <v>-0.57081414000985731</v>
      </c>
      <c r="O34" s="30">
        <f t="shared" si="4"/>
        <v>0.56506520918435166</v>
      </c>
      <c r="P34" s="47" t="s">
        <v>80</v>
      </c>
      <c r="Q34" s="48">
        <f t="shared" si="5"/>
        <v>1.129963230805775E-2</v>
      </c>
      <c r="R34" s="77">
        <f t="shared" si="6"/>
        <v>1.9683246207236459E-2</v>
      </c>
      <c r="T34" s="86">
        <v>29</v>
      </c>
      <c r="U34" s="55"/>
      <c r="V34" s="56">
        <f>V33+1/4*(U37-U33)</f>
        <v>-0.17482501522087446</v>
      </c>
      <c r="W34" s="59">
        <f t="shared" si="1"/>
        <v>0.83960392582327137</v>
      </c>
      <c r="X34" s="77">
        <f t="shared" si="7"/>
        <v>2.4113795202879242E-2</v>
      </c>
    </row>
    <row r="35" spans="2:24" x14ac:dyDescent="0.45">
      <c r="B35" s="103" t="s">
        <v>31</v>
      </c>
      <c r="C35" s="17">
        <v>30</v>
      </c>
      <c r="D35" s="18">
        <v>2.0150000000000001</v>
      </c>
      <c r="E35" s="101">
        <v>0.55985099999999999</v>
      </c>
      <c r="F35" s="102">
        <f t="shared" si="0"/>
        <v>1.9336153402826538E-2</v>
      </c>
      <c r="H35" s="78">
        <v>30</v>
      </c>
      <c r="I35" s="44">
        <v>1</v>
      </c>
      <c r="J35" s="41">
        <f>D35+I35/100</f>
        <v>2.0249999999999999</v>
      </c>
      <c r="K35" s="42">
        <f>SUMPRODUCT($O$6:O35,$Q$5:Q34)/SUM($O$6:O35)*100</f>
        <v>2.0250000000859756</v>
      </c>
      <c r="L35" s="33">
        <v>0.55871611883876249</v>
      </c>
      <c r="M35" s="21">
        <f t="shared" ref="M35" si="16">LN(L35)</f>
        <v>-0.58211377231791506</v>
      </c>
      <c r="N35" s="35">
        <f t="shared" si="15"/>
        <v>-0.58211377231791495</v>
      </c>
      <c r="O35" s="31">
        <f t="shared" si="4"/>
        <v>0.55871611883876249</v>
      </c>
      <c r="P35" s="11"/>
      <c r="Q35" s="49"/>
      <c r="R35" s="77">
        <f t="shared" si="6"/>
        <v>1.9403792410597167E-2</v>
      </c>
      <c r="T35" s="86">
        <v>30</v>
      </c>
      <c r="U35" s="55"/>
      <c r="V35" s="56">
        <f>V33+2/4*(U37-U33)</f>
        <v>-0.18090087985724612</v>
      </c>
      <c r="W35" s="59">
        <f t="shared" si="1"/>
        <v>0.83451807214687923</v>
      </c>
      <c r="X35" s="77">
        <f t="shared" si="7"/>
        <v>2.4120117314299475E-2</v>
      </c>
    </row>
    <row r="36" spans="2:24" x14ac:dyDescent="0.45">
      <c r="B36" s="86" t="s">
        <v>32</v>
      </c>
      <c r="C36" s="10">
        <v>40</v>
      </c>
      <c r="D36" s="8">
        <v>1.8152999999999999</v>
      </c>
      <c r="E36" s="101">
        <v>0.50584399999999996</v>
      </c>
      <c r="F36" s="102">
        <f t="shared" si="0"/>
        <v>1.7038173940606638E-2</v>
      </c>
      <c r="H36" s="71"/>
      <c r="I36" s="72"/>
      <c r="J36" s="55"/>
      <c r="K36" s="7"/>
      <c r="L36" s="55"/>
      <c r="M36" s="55"/>
      <c r="N36" s="55"/>
      <c r="O36" s="55"/>
      <c r="P36" s="55"/>
      <c r="Q36" s="55"/>
      <c r="R36" s="73"/>
      <c r="T36" s="86">
        <v>31</v>
      </c>
      <c r="U36" s="55"/>
      <c r="V36" s="56">
        <f>V33+3/4*(U37-U33)</f>
        <v>-0.18697674449361781</v>
      </c>
      <c r="W36" s="59">
        <f t="shared" si="1"/>
        <v>0.82946302574380015</v>
      </c>
      <c r="X36" s="77">
        <f t="shared" si="7"/>
        <v>2.4126031547563584E-2</v>
      </c>
    </row>
    <row r="37" spans="2:24" ht="14.65" thickBot="1" x14ac:dyDescent="0.5">
      <c r="B37" s="104" t="s">
        <v>33</v>
      </c>
      <c r="C37" s="12">
        <v>50</v>
      </c>
      <c r="D37" s="13">
        <v>1.7919</v>
      </c>
      <c r="E37" s="101">
        <v>0.44923800000000003</v>
      </c>
      <c r="F37" s="102">
        <f t="shared" si="0"/>
        <v>1.6004049297210551E-2</v>
      </c>
      <c r="H37" s="79"/>
      <c r="I37" s="80" t="s">
        <v>82</v>
      </c>
      <c r="J37" s="81" t="s">
        <v>83</v>
      </c>
      <c r="K37" s="81"/>
      <c r="L37" s="82" t="s">
        <v>47</v>
      </c>
      <c r="M37" s="83"/>
      <c r="N37" s="83"/>
      <c r="O37" s="83"/>
      <c r="P37" s="83"/>
      <c r="Q37" s="83"/>
      <c r="R37" s="84"/>
      <c r="T37" s="86">
        <v>32</v>
      </c>
      <c r="U37" s="56">
        <f>N13</f>
        <v>-0.19305260912998948</v>
      </c>
      <c r="V37" s="56">
        <f>U37</f>
        <v>-0.19305260912998948</v>
      </c>
      <c r="W37" s="59">
        <f t="shared" si="1"/>
        <v>0.82443860000070457</v>
      </c>
      <c r="X37" s="77">
        <f t="shared" si="7"/>
        <v>2.4131576141248685E-2</v>
      </c>
    </row>
    <row r="38" spans="2:24" ht="14.65" thickBot="1" x14ac:dyDescent="0.5">
      <c r="B38" s="105" t="s">
        <v>41</v>
      </c>
      <c r="C38" s="106"/>
      <c r="D38" s="106"/>
      <c r="E38" s="83"/>
      <c r="F38" s="84"/>
      <c r="T38" s="86">
        <v>33</v>
      </c>
      <c r="U38" s="55"/>
      <c r="V38" s="56">
        <f>V37+1/4*(U41-U37)</f>
        <v>-0.19937737123245519</v>
      </c>
      <c r="W38" s="59">
        <f t="shared" si="1"/>
        <v>0.8192406771279398</v>
      </c>
      <c r="X38" s="77">
        <f t="shared" si="7"/>
        <v>2.4166954088782455E-2</v>
      </c>
    </row>
    <row r="39" spans="2:24" x14ac:dyDescent="0.45">
      <c r="T39" s="86">
        <v>34</v>
      </c>
      <c r="U39" s="55"/>
      <c r="V39" s="56">
        <f>V37+2/4*(U41-U37)</f>
        <v>-0.20570213333492093</v>
      </c>
      <c r="W39" s="59">
        <f t="shared" si="1"/>
        <v>0.81407552613435585</v>
      </c>
      <c r="X39" s="77">
        <f t="shared" si="7"/>
        <v>2.4200250980578941E-2</v>
      </c>
    </row>
    <row r="40" spans="2:24" x14ac:dyDescent="0.45">
      <c r="T40" s="86">
        <v>35</v>
      </c>
      <c r="U40" s="55"/>
      <c r="V40" s="56">
        <f>V37+3/4*(U41-U37)</f>
        <v>-0.21202689543738665</v>
      </c>
      <c r="W40" s="59">
        <f t="shared" si="1"/>
        <v>0.80894294039971404</v>
      </c>
      <c r="X40" s="77">
        <f t="shared" si="7"/>
        <v>2.4231645192844185E-2</v>
      </c>
    </row>
    <row r="41" spans="2:24" x14ac:dyDescent="0.45">
      <c r="T41" s="86">
        <v>36</v>
      </c>
      <c r="U41" s="56">
        <f>N14</f>
        <v>-0.21835165753985236</v>
      </c>
      <c r="V41" s="56">
        <f>U41</f>
        <v>-0.21835165753985236</v>
      </c>
      <c r="W41" s="59">
        <f t="shared" si="1"/>
        <v>0.80384271460647527</v>
      </c>
      <c r="X41" s="77">
        <f t="shared" si="7"/>
        <v>2.4261295282205816E-2</v>
      </c>
    </row>
    <row r="42" spans="2:24" x14ac:dyDescent="0.45">
      <c r="T42" s="86">
        <v>37</v>
      </c>
      <c r="U42" s="55"/>
      <c r="V42" s="56">
        <f>V41+1/4*(U45-U41)</f>
        <v>-0.22485434949052527</v>
      </c>
      <c r="W42" s="59">
        <f t="shared" si="1"/>
        <v>0.79863253152376423</v>
      </c>
      <c r="X42" s="77">
        <f t="shared" si="7"/>
        <v>2.4308578323300033E-2</v>
      </c>
    </row>
    <row r="43" spans="2:24" x14ac:dyDescent="0.45">
      <c r="T43" s="86">
        <v>38</v>
      </c>
      <c r="U43" s="55"/>
      <c r="V43" s="56">
        <f>V41+2/4*(U45-U41)</f>
        <v>-0.23135704144119817</v>
      </c>
      <c r="W43" s="59">
        <f t="shared" si="1"/>
        <v>0.79345611873872723</v>
      </c>
      <c r="X43" s="77">
        <f t="shared" si="7"/>
        <v>2.4353372783284023E-2</v>
      </c>
    </row>
    <row r="44" spans="2:24" x14ac:dyDescent="0.45">
      <c r="T44" s="86">
        <v>39</v>
      </c>
      <c r="U44" s="55"/>
      <c r="V44" s="56">
        <f>V41+3/4*(U45-U41)</f>
        <v>-0.23785973339187111</v>
      </c>
      <c r="W44" s="59">
        <f t="shared" si="1"/>
        <v>0.78831325736596491</v>
      </c>
      <c r="X44" s="77">
        <f t="shared" si="7"/>
        <v>2.439587009147396E-2</v>
      </c>
    </row>
    <row r="45" spans="2:24" x14ac:dyDescent="0.45">
      <c r="T45" s="86">
        <v>40</v>
      </c>
      <c r="U45" s="56">
        <f>N15</f>
        <v>-0.24436242534254402</v>
      </c>
      <c r="V45" s="56">
        <f>U45</f>
        <v>-0.24436242534254402</v>
      </c>
      <c r="W45" s="59">
        <f t="shared" si="1"/>
        <v>0.78320372993880438</v>
      </c>
      <c r="X45" s="77">
        <f t="shared" si="7"/>
        <v>2.4436242534254402E-2</v>
      </c>
    </row>
    <row r="46" spans="2:24" x14ac:dyDescent="0.45">
      <c r="T46" s="86">
        <v>41</v>
      </c>
      <c r="U46" s="55"/>
      <c r="V46" s="56">
        <f>V45+1/4*(U49-U45)</f>
        <v>-0.25095929345556472</v>
      </c>
      <c r="W46" s="59">
        <f t="shared" si="1"/>
        <v>0.77805404280580592</v>
      </c>
      <c r="X46" s="77">
        <f t="shared" si="7"/>
        <v>2.448383350785998E-2</v>
      </c>
    </row>
    <row r="47" spans="2:24" x14ac:dyDescent="0.45">
      <c r="T47" s="86">
        <v>42</v>
      </c>
      <c r="U47" s="55"/>
      <c r="V47" s="56">
        <f>V45+2/4*(U49-U45)</f>
        <v>-0.25755616156858546</v>
      </c>
      <c r="W47" s="59">
        <f t="shared" si="1"/>
        <v>0.77293821567187804</v>
      </c>
      <c r="X47" s="77">
        <f t="shared" si="7"/>
        <v>2.4529158244627185E-2</v>
      </c>
    </row>
    <row r="48" spans="2:24" x14ac:dyDescent="0.45">
      <c r="T48" s="86">
        <v>43</v>
      </c>
      <c r="U48" s="55"/>
      <c r="V48" s="56">
        <f>V45+3/4*(U49-U45)</f>
        <v>-0.2641530296816062</v>
      </c>
      <c r="W48" s="59">
        <f t="shared" si="1"/>
        <v>0.76785602590222601</v>
      </c>
      <c r="X48" s="77">
        <f t="shared" si="7"/>
        <v>2.4572374854102907E-2</v>
      </c>
    </row>
    <row r="49" spans="20:24" x14ac:dyDescent="0.45">
      <c r="T49" s="86">
        <v>44</v>
      </c>
      <c r="U49" s="56">
        <f>N16</f>
        <v>-0.27074989779462694</v>
      </c>
      <c r="V49" s="56">
        <f>U49</f>
        <v>-0.27074989779462694</v>
      </c>
      <c r="W49" s="59">
        <f t="shared" si="1"/>
        <v>0.76280725232591406</v>
      </c>
      <c r="X49" s="77">
        <f t="shared" si="7"/>
        <v>2.4613627072238811E-2</v>
      </c>
    </row>
    <row r="50" spans="20:24" x14ac:dyDescent="0.45">
      <c r="T50" s="86">
        <v>45</v>
      </c>
      <c r="U50" s="55"/>
      <c r="V50" s="56">
        <f>V49+1/4*(U53-U49)</f>
        <v>-0.27723675492359223</v>
      </c>
      <c r="W50" s="59">
        <f t="shared" si="1"/>
        <v>0.75787504521986371</v>
      </c>
      <c r="X50" s="77">
        <f t="shared" si="7"/>
        <v>2.4643267104319314E-2</v>
      </c>
    </row>
    <row r="51" spans="20:24" x14ac:dyDescent="0.45">
      <c r="T51" s="86">
        <v>46</v>
      </c>
      <c r="U51" s="55"/>
      <c r="V51" s="56">
        <f>V49+2/4*(U53-U49)</f>
        <v>-0.28372361205255758</v>
      </c>
      <c r="W51" s="59">
        <f t="shared" si="1"/>
        <v>0.75297472908871277</v>
      </c>
      <c r="X51" s="77">
        <f t="shared" si="7"/>
        <v>2.4671618439352828E-2</v>
      </c>
    </row>
    <row r="52" spans="20:24" x14ac:dyDescent="0.45">
      <c r="T52" s="86">
        <v>47</v>
      </c>
      <c r="U52" s="55"/>
      <c r="V52" s="56">
        <f>V49+3/4*(U53-U49)</f>
        <v>-0.29021046918152293</v>
      </c>
      <c r="W52" s="59">
        <f t="shared" si="1"/>
        <v>0.74810609772978987</v>
      </c>
      <c r="X52" s="77">
        <f t="shared" si="7"/>
        <v>2.4698763334597702E-2</v>
      </c>
    </row>
    <row r="53" spans="20:24" x14ac:dyDescent="0.45">
      <c r="T53" s="86">
        <v>48</v>
      </c>
      <c r="U53" s="56">
        <f>N17</f>
        <v>-0.29669732631048823</v>
      </c>
      <c r="V53" s="56">
        <f>U53</f>
        <v>-0.29669732631048823</v>
      </c>
      <c r="W53" s="59">
        <f t="shared" si="1"/>
        <v>0.74326894627370232</v>
      </c>
      <c r="X53" s="77">
        <f t="shared" si="7"/>
        <v>2.4724777192540685E-2</v>
      </c>
    </row>
    <row r="54" spans="20:24" x14ac:dyDescent="0.45">
      <c r="T54" s="86">
        <v>49</v>
      </c>
      <c r="U54" s="55"/>
      <c r="V54" s="56">
        <f>V53+1/4*(U57-U53)</f>
        <v>-0.30273512109132894</v>
      </c>
      <c r="W54" s="59">
        <f t="shared" si="1"/>
        <v>0.73879476160572755</v>
      </c>
      <c r="X54" s="77">
        <f t="shared" si="7"/>
        <v>2.4713071109496245E-2</v>
      </c>
    </row>
    <row r="55" spans="20:24" x14ac:dyDescent="0.45">
      <c r="T55" s="86">
        <v>50</v>
      </c>
      <c r="U55" s="55"/>
      <c r="V55" s="56">
        <f>V53+2/4*(U57-U53)</f>
        <v>-0.3087729158721696</v>
      </c>
      <c r="W55" s="59">
        <f t="shared" si="1"/>
        <v>0.7343475097573513</v>
      </c>
      <c r="X55" s="77">
        <f t="shared" si="7"/>
        <v>2.4701833269773571E-2</v>
      </c>
    </row>
    <row r="56" spans="20:24" x14ac:dyDescent="0.45">
      <c r="T56" s="86">
        <v>51</v>
      </c>
      <c r="U56" s="55"/>
      <c r="V56" s="56">
        <f>V53+3/4*(U57-U53)</f>
        <v>-0.31481071065301025</v>
      </c>
      <c r="W56" s="59">
        <f t="shared" si="1"/>
        <v>0.72992702860366698</v>
      </c>
      <c r="X56" s="77">
        <f t="shared" si="7"/>
        <v>2.4691036129647858E-2</v>
      </c>
    </row>
    <row r="57" spans="20:24" x14ac:dyDescent="0.45">
      <c r="T57" s="86">
        <v>52</v>
      </c>
      <c r="U57" s="56">
        <f>N18</f>
        <v>-0.32084850543385096</v>
      </c>
      <c r="V57" s="56">
        <f>U57</f>
        <v>-0.32084850543385096</v>
      </c>
      <c r="W57" s="59">
        <f t="shared" si="1"/>
        <v>0.72553315699569543</v>
      </c>
      <c r="X57" s="77">
        <f t="shared" si="7"/>
        <v>2.4680654264142385E-2</v>
      </c>
    </row>
    <row r="58" spans="20:24" x14ac:dyDescent="0.45">
      <c r="T58" s="86">
        <v>53</v>
      </c>
      <c r="U58" s="55"/>
      <c r="V58" s="56">
        <f>V57+1/4*(U61-U57)</f>
        <v>-0.32688630021469167</v>
      </c>
      <c r="W58" s="59">
        <f t="shared" si="1"/>
        <v>0.72116573475451107</v>
      </c>
      <c r="X58" s="77">
        <f t="shared" si="7"/>
        <v>2.4670664167146542E-2</v>
      </c>
    </row>
    <row r="59" spans="20:24" x14ac:dyDescent="0.45">
      <c r="T59" s="86">
        <v>54</v>
      </c>
      <c r="U59" s="55"/>
      <c r="V59" s="56">
        <f>V57+2/4*(U61-U57)</f>
        <v>-0.33292409499553233</v>
      </c>
      <c r="W59" s="59">
        <f t="shared" si="1"/>
        <v>0.7168246026654016</v>
      </c>
      <c r="X59" s="77">
        <f t="shared" si="7"/>
        <v>2.4661044073743137E-2</v>
      </c>
    </row>
    <row r="60" spans="20:24" x14ac:dyDescent="0.45">
      <c r="T60" s="86">
        <v>55</v>
      </c>
      <c r="U60" s="55"/>
      <c r="V60" s="56">
        <f>V57+3/4*(U61-U57)</f>
        <v>-0.33896188977637298</v>
      </c>
      <c r="W60" s="59">
        <f t="shared" si="1"/>
        <v>0.7125096024720643</v>
      </c>
      <c r="X60" s="77">
        <f t="shared" si="7"/>
        <v>2.4651773801918041E-2</v>
      </c>
    </row>
    <row r="61" spans="20:24" x14ac:dyDescent="0.45">
      <c r="T61" s="86">
        <v>56</v>
      </c>
      <c r="U61" s="56">
        <f>N19</f>
        <v>-0.34499968455721369</v>
      </c>
      <c r="V61" s="56">
        <f>U61</f>
        <v>-0.34499968455721369</v>
      </c>
      <c r="W61" s="59">
        <f t="shared" si="1"/>
        <v>0.70822057687083684</v>
      </c>
      <c r="X61" s="77">
        <f t="shared" si="7"/>
        <v>2.4642834611229548E-2</v>
      </c>
    </row>
    <row r="62" spans="20:24" x14ac:dyDescent="0.45">
      <c r="T62" s="86">
        <v>57</v>
      </c>
      <c r="U62" s="55"/>
      <c r="V62" s="56">
        <f>V61+1/4*(U65-U61)</f>
        <v>-0.3510374793380544</v>
      </c>
      <c r="W62" s="59">
        <f t="shared" si="1"/>
        <v>0.70395736950496246</v>
      </c>
      <c r="X62" s="77">
        <f t="shared" si="7"/>
        <v>2.4634209076354694E-2</v>
      </c>
    </row>
    <row r="63" spans="20:24" x14ac:dyDescent="0.45">
      <c r="T63" s="86">
        <v>58</v>
      </c>
      <c r="U63" s="55"/>
      <c r="V63" s="56">
        <f>V61+2/4*(U65-U61)</f>
        <v>-0.35707527411889506</v>
      </c>
      <c r="W63" s="59">
        <f t="shared" si="1"/>
        <v>0.69971982495889029</v>
      </c>
      <c r="X63" s="77">
        <f t="shared" si="7"/>
        <v>2.4625880973716902E-2</v>
      </c>
    </row>
    <row r="64" spans="20:24" x14ac:dyDescent="0.45">
      <c r="T64" s="86">
        <v>59</v>
      </c>
      <c r="U64" s="55"/>
      <c r="V64" s="56">
        <f>V61+3/4*(U65-U61)</f>
        <v>-0.36311306889973571</v>
      </c>
      <c r="W64" s="59">
        <f t="shared" si="1"/>
        <v>0.69550778875260955</v>
      </c>
      <c r="X64" s="77">
        <f t="shared" si="7"/>
        <v>2.4617835179643097E-2</v>
      </c>
    </row>
    <row r="65" spans="20:24" x14ac:dyDescent="0.45">
      <c r="T65" s="86">
        <v>60</v>
      </c>
      <c r="U65" s="56">
        <f>N20</f>
        <v>-0.36915086368057642</v>
      </c>
      <c r="V65" s="56">
        <f>U65</f>
        <v>-0.36915086368057642</v>
      </c>
      <c r="W65" s="59">
        <f t="shared" si="1"/>
        <v>0.69132110733601759</v>
      </c>
      <c r="X65" s="77">
        <f t="shared" si="7"/>
        <v>2.4610057578705095E-2</v>
      </c>
    </row>
    <row r="66" spans="20:24" x14ac:dyDescent="0.45">
      <c r="T66" s="86">
        <v>61</v>
      </c>
      <c r="U66" s="55"/>
      <c r="V66" s="56">
        <f>V65+1/4*(U69-U65)</f>
        <v>-0.37369840483877248</v>
      </c>
      <c r="W66" s="59">
        <f t="shared" si="1"/>
        <v>0.68818443362883563</v>
      </c>
      <c r="X66" s="77">
        <f t="shared" si="7"/>
        <v>2.4504813432050656E-2</v>
      </c>
    </row>
    <row r="67" spans="20:24" x14ac:dyDescent="0.45">
      <c r="T67" s="86">
        <v>62</v>
      </c>
      <c r="U67" s="55"/>
      <c r="V67" s="56">
        <f>V65+2/4*(U69-U65)</f>
        <v>-0.37824594599696859</v>
      </c>
      <c r="W67" s="59">
        <f t="shared" si="1"/>
        <v>0.68506199169013415</v>
      </c>
      <c r="X67" s="77">
        <f t="shared" si="7"/>
        <v>2.4402964257868944E-2</v>
      </c>
    </row>
    <row r="68" spans="20:24" x14ac:dyDescent="0.45">
      <c r="T68" s="86">
        <v>63</v>
      </c>
      <c r="U68" s="55"/>
      <c r="V68" s="56">
        <f>V65+3/4*(U69-U65)</f>
        <v>-0.38279348715516465</v>
      </c>
      <c r="W68" s="59">
        <f t="shared" si="1"/>
        <v>0.68195371694729501</v>
      </c>
      <c r="X68" s="77">
        <f t="shared" si="7"/>
        <v>2.4304348390804104E-2</v>
      </c>
    </row>
    <row r="69" spans="20:24" x14ac:dyDescent="0.45">
      <c r="T69" s="86">
        <v>64</v>
      </c>
      <c r="U69" s="56">
        <f>N21</f>
        <v>-0.3873410283133607</v>
      </c>
      <c r="V69" s="56">
        <f>U69</f>
        <v>-0.3873410283133607</v>
      </c>
      <c r="W69" s="59">
        <f t="shared" si="1"/>
        <v>0.6788595451206797</v>
      </c>
      <c r="X69" s="77">
        <f t="shared" si="7"/>
        <v>2.4208814269585044E-2</v>
      </c>
    </row>
    <row r="70" spans="20:24" x14ac:dyDescent="0.45">
      <c r="T70" s="86">
        <v>65</v>
      </c>
      <c r="U70" s="55"/>
      <c r="V70" s="56">
        <f>V69+1/4*(U73-U69)</f>
        <v>-0.39188856947155676</v>
      </c>
      <c r="W70" s="59">
        <f t="shared" ref="W70:W125" si="17">EXP(V70)</f>
        <v>0.67577941222230065</v>
      </c>
      <c r="X70" s="77">
        <f t="shared" si="7"/>
        <v>2.4116219659788104E-2</v>
      </c>
    </row>
    <row r="71" spans="20:24" x14ac:dyDescent="0.45">
      <c r="T71" s="86">
        <v>66</v>
      </c>
      <c r="U71" s="55"/>
      <c r="V71" s="56">
        <f>V69+2/4*(U73-U69)</f>
        <v>-0.39643611062975281</v>
      </c>
      <c r="W71" s="59">
        <f t="shared" si="17"/>
        <v>0.67271325455449738</v>
      </c>
      <c r="X71" s="77">
        <f t="shared" ref="X71:X125" si="18">-LN(W71)/(T71/4)</f>
        <v>2.4026430947257742E-2</v>
      </c>
    </row>
    <row r="72" spans="20:24" x14ac:dyDescent="0.45">
      <c r="T72" s="86">
        <v>67</v>
      </c>
      <c r="U72" s="55"/>
      <c r="V72" s="56">
        <f>V69+3/4*(U73-U69)</f>
        <v>-0.40098365178794892</v>
      </c>
      <c r="W72" s="59">
        <f t="shared" si="17"/>
        <v>0.66966100870861966</v>
      </c>
      <c r="X72" s="77">
        <f t="shared" si="18"/>
        <v>2.3939322494802916E-2</v>
      </c>
    </row>
    <row r="73" spans="20:24" x14ac:dyDescent="0.45">
      <c r="T73" s="86">
        <v>68</v>
      </c>
      <c r="U73" s="56">
        <f>N22</f>
        <v>-0.40553119294614498</v>
      </c>
      <c r="V73" s="56">
        <f>U73</f>
        <v>-0.40553119294614498</v>
      </c>
      <c r="W73" s="59">
        <f t="shared" si="17"/>
        <v>0.66662261156371616</v>
      </c>
      <c r="X73" s="77">
        <f t="shared" si="18"/>
        <v>2.3854776055655585E-2</v>
      </c>
    </row>
    <row r="74" spans="20:24" x14ac:dyDescent="0.45">
      <c r="T74" s="86">
        <v>69</v>
      </c>
      <c r="U74" s="55"/>
      <c r="V74" s="56">
        <f>V73+1/4*(U77-U73)</f>
        <v>-0.41007873410434104</v>
      </c>
      <c r="W74" s="59">
        <f t="shared" si="17"/>
        <v>0.66359800028522875</v>
      </c>
      <c r="X74" s="77">
        <f t="shared" si="18"/>
        <v>2.3772680237932817E-2</v>
      </c>
    </row>
    <row r="75" spans="20:24" x14ac:dyDescent="0.45">
      <c r="T75" s="86">
        <v>70</v>
      </c>
      <c r="U75" s="55"/>
      <c r="V75" s="56">
        <f>V73+2/4*(U77-U73)</f>
        <v>-0.41462627526253715</v>
      </c>
      <c r="W75" s="59">
        <f t="shared" si="17"/>
        <v>0.66058711232369349</v>
      </c>
      <c r="X75" s="77">
        <f t="shared" si="18"/>
        <v>2.3692930015002125E-2</v>
      </c>
    </row>
    <row r="76" spans="20:24" x14ac:dyDescent="0.45">
      <c r="T76" s="86">
        <v>71</v>
      </c>
      <c r="U76" s="55"/>
      <c r="V76" s="56">
        <f>V73+3/4*(U77-U73)</f>
        <v>-0.4191738164207332</v>
      </c>
      <c r="W76" s="59">
        <f t="shared" si="17"/>
        <v>0.65758988541344698</v>
      </c>
      <c r="X76" s="77">
        <f t="shared" si="18"/>
        <v>2.3615426277224402E-2</v>
      </c>
    </row>
    <row r="77" spans="20:24" x14ac:dyDescent="0.45">
      <c r="T77" s="86">
        <v>72</v>
      </c>
      <c r="U77" s="56">
        <f>N23</f>
        <v>-0.42372135757892926</v>
      </c>
      <c r="V77" s="56">
        <f>U77</f>
        <v>-0.42372135757892926</v>
      </c>
      <c r="W77" s="59">
        <f t="shared" si="17"/>
        <v>0.65460625757133828</v>
      </c>
      <c r="X77" s="77">
        <f t="shared" si="18"/>
        <v>2.3540075421051621E-2</v>
      </c>
    </row>
    <row r="78" spans="20:24" x14ac:dyDescent="0.45">
      <c r="T78" s="86">
        <v>73</v>
      </c>
      <c r="U78" s="55"/>
      <c r="V78" s="56">
        <f>V77+1/4*(U81-U77)</f>
        <v>-0.42826889873712531</v>
      </c>
      <c r="W78" s="59">
        <f t="shared" si="17"/>
        <v>0.65163616709544769</v>
      </c>
      <c r="X78" s="77">
        <f t="shared" si="18"/>
        <v>2.3466788971897277E-2</v>
      </c>
    </row>
    <row r="79" spans="20:24" x14ac:dyDescent="0.45">
      <c r="T79" s="86">
        <v>74</v>
      </c>
      <c r="U79" s="55"/>
      <c r="V79" s="56">
        <f>V77+2/4*(U81-U77)</f>
        <v>-0.43281643989532137</v>
      </c>
      <c r="W79" s="59">
        <f t="shared" si="17"/>
        <v>0.6486795525638106</v>
      </c>
      <c r="X79" s="77">
        <f t="shared" si="18"/>
        <v>2.3395483237584939E-2</v>
      </c>
    </row>
    <row r="80" spans="20:24" x14ac:dyDescent="0.45">
      <c r="T80" s="86">
        <v>75</v>
      </c>
      <c r="U80" s="55"/>
      <c r="V80" s="56">
        <f>V77+3/4*(U81-U77)</f>
        <v>-0.43736398105351748</v>
      </c>
      <c r="W80" s="59">
        <f t="shared" si="17"/>
        <v>0.6457363528331469</v>
      </c>
      <c r="X80" s="77">
        <f t="shared" si="18"/>
        <v>2.3326078989520934E-2</v>
      </c>
    </row>
    <row r="81" spans="20:24" x14ac:dyDescent="0.45">
      <c r="T81" s="86">
        <v>76</v>
      </c>
      <c r="U81" s="56">
        <f>N24</f>
        <v>-0.44191152221171354</v>
      </c>
      <c r="V81" s="56">
        <f>U81</f>
        <v>-0.44191152221171354</v>
      </c>
      <c r="W81" s="59">
        <f t="shared" si="17"/>
        <v>0.64280650703759701</v>
      </c>
      <c r="X81" s="77">
        <f t="shared" si="18"/>
        <v>2.3258501169037559E-2</v>
      </c>
    </row>
    <row r="82" spans="20:24" x14ac:dyDescent="0.45">
      <c r="T82" s="86">
        <v>77</v>
      </c>
      <c r="U82" s="55"/>
      <c r="V82" s="56">
        <f>V81+1/4*(U85-U81)</f>
        <v>-0.44645906336990959</v>
      </c>
      <c r="W82" s="59">
        <f t="shared" si="17"/>
        <v>0.63988995458746289</v>
      </c>
      <c r="X82" s="77">
        <f t="shared" si="18"/>
        <v>2.3192678616618681E-2</v>
      </c>
    </row>
    <row r="83" spans="20:24" x14ac:dyDescent="0.45">
      <c r="T83" s="86">
        <v>78</v>
      </c>
      <c r="U83" s="55"/>
      <c r="V83" s="56">
        <f>V81+2/4*(U85-U81)</f>
        <v>-0.4510066045281057</v>
      </c>
      <c r="W83" s="59">
        <f t="shared" si="17"/>
        <v>0.63698663516795495</v>
      </c>
      <c r="X83" s="77">
        <f t="shared" si="18"/>
        <v>2.3128543821954138E-2</v>
      </c>
    </row>
    <row r="84" spans="20:24" x14ac:dyDescent="0.45">
      <c r="T84" s="86">
        <v>79</v>
      </c>
      <c r="U84" s="55"/>
      <c r="V84" s="56">
        <f>V81+3/4*(U85-U81)</f>
        <v>-0.45555414568630176</v>
      </c>
      <c r="W84" s="59">
        <f t="shared" si="17"/>
        <v>0.63409648873794511</v>
      </c>
      <c r="X84" s="77">
        <f t="shared" si="18"/>
        <v>2.3066032692977308E-2</v>
      </c>
    </row>
    <row r="85" spans="20:24" x14ac:dyDescent="0.45">
      <c r="T85" s="86">
        <v>80</v>
      </c>
      <c r="U85" s="56">
        <f>N25</f>
        <v>-0.46010168684449781</v>
      </c>
      <c r="V85" s="56">
        <f>U85</f>
        <v>-0.46010168684449781</v>
      </c>
      <c r="W85" s="59">
        <f t="shared" si="17"/>
        <v>0.63121945552872472</v>
      </c>
      <c r="X85" s="77">
        <f t="shared" si="18"/>
        <v>2.3005084342224896E-2</v>
      </c>
    </row>
    <row r="86" spans="20:24" x14ac:dyDescent="0.45">
      <c r="T86" s="86">
        <v>81</v>
      </c>
      <c r="U86" s="55"/>
      <c r="V86" s="56">
        <f>V85+1/4*(U89-U85)</f>
        <v>-0.46337738304115428</v>
      </c>
      <c r="W86" s="59">
        <f t="shared" si="17"/>
        <v>0.62915515521519683</v>
      </c>
      <c r="X86" s="77">
        <f t="shared" si="18"/>
        <v>2.288283373042737E-2</v>
      </c>
    </row>
    <row r="87" spans="20:24" x14ac:dyDescent="0.45">
      <c r="T87" s="86">
        <v>82</v>
      </c>
      <c r="U87" s="55"/>
      <c r="V87" s="56">
        <f>V85+2/4*(U89-U85)</f>
        <v>-0.46665307923781074</v>
      </c>
      <c r="W87" s="59">
        <f t="shared" si="17"/>
        <v>0.62709760585927488</v>
      </c>
      <c r="X87" s="77">
        <f t="shared" si="18"/>
        <v>2.2763564840868819E-2</v>
      </c>
    </row>
    <row r="88" spans="20:24" x14ac:dyDescent="0.45">
      <c r="T88" s="86">
        <v>83</v>
      </c>
      <c r="U88" s="55"/>
      <c r="V88" s="56">
        <f>V85+3/4*(U89-U85)</f>
        <v>-0.46992877543446715</v>
      </c>
      <c r="W88" s="59">
        <f t="shared" si="17"/>
        <v>0.62504678538305303</v>
      </c>
      <c r="X88" s="77">
        <f t="shared" si="18"/>
        <v>2.2647169900456249E-2</v>
      </c>
    </row>
    <row r="89" spans="20:24" x14ac:dyDescent="0.45">
      <c r="T89" s="86">
        <v>84</v>
      </c>
      <c r="U89" s="56">
        <f>N26</f>
        <v>-0.47320447163112361</v>
      </c>
      <c r="V89" s="56">
        <f>U89</f>
        <v>-0.47320447163112361</v>
      </c>
      <c r="W89" s="59">
        <f t="shared" si="17"/>
        <v>0.62300267178082713</v>
      </c>
      <c r="X89" s="77">
        <f t="shared" si="18"/>
        <v>2.2533546268148741E-2</v>
      </c>
    </row>
    <row r="90" spans="20:24" x14ac:dyDescent="0.45">
      <c r="T90" s="86">
        <v>85</v>
      </c>
      <c r="U90" s="55"/>
      <c r="V90" s="56">
        <f>V89+1/4*(U93-U89)</f>
        <v>-0.47648016782778008</v>
      </c>
      <c r="W90" s="59">
        <f t="shared" si="17"/>
        <v>0.62096524311885926</v>
      </c>
      <c r="X90" s="77">
        <f t="shared" si="18"/>
        <v>2.2422596133072008E-2</v>
      </c>
    </row>
    <row r="91" spans="20:24" x14ac:dyDescent="0.45">
      <c r="T91" s="86">
        <v>86</v>
      </c>
      <c r="U91" s="55"/>
      <c r="V91" s="56">
        <f>V89+2/4*(U93-U89)</f>
        <v>-0.47975586402443648</v>
      </c>
      <c r="W91" s="59">
        <f t="shared" si="17"/>
        <v>0.61893447753514241</v>
      </c>
      <c r="X91" s="77">
        <f t="shared" si="18"/>
        <v>2.2314226233694723E-2</v>
      </c>
    </row>
    <row r="92" spans="20:24" x14ac:dyDescent="0.45">
      <c r="T92" s="86">
        <v>87</v>
      </c>
      <c r="U92" s="55"/>
      <c r="V92" s="56">
        <f>V89+3/4*(U93-U89)</f>
        <v>-0.48303156022109295</v>
      </c>
      <c r="W92" s="59">
        <f t="shared" si="17"/>
        <v>0.61691035323916543</v>
      </c>
      <c r="X92" s="77">
        <f t="shared" si="18"/>
        <v>2.220834759637209E-2</v>
      </c>
    </row>
    <row r="93" spans="20:24" x14ac:dyDescent="0.45">
      <c r="T93" s="86">
        <v>88</v>
      </c>
      <c r="U93" s="56">
        <f>N27</f>
        <v>-0.48630725641774941</v>
      </c>
      <c r="V93" s="56">
        <f>U93</f>
        <v>-0.48630725641774941</v>
      </c>
      <c r="W93" s="59">
        <f t="shared" si="17"/>
        <v>0.61489284851167958</v>
      </c>
      <c r="X93" s="77">
        <f t="shared" si="18"/>
        <v>2.2104875291715877E-2</v>
      </c>
    </row>
    <row r="94" spans="20:24" x14ac:dyDescent="0.45">
      <c r="T94" s="86">
        <v>89</v>
      </c>
      <c r="U94" s="55"/>
      <c r="V94" s="56">
        <f>V93+1/4*(U97-U93)</f>
        <v>-0.48958295261440588</v>
      </c>
      <c r="W94" s="59">
        <f t="shared" si="17"/>
        <v>0.61288194170446531</v>
      </c>
      <c r="X94" s="77">
        <f t="shared" si="18"/>
        <v>2.2003728207389026E-2</v>
      </c>
    </row>
    <row r="95" spans="20:24" x14ac:dyDescent="0.45">
      <c r="T95" s="86">
        <v>90</v>
      </c>
      <c r="U95" s="55"/>
      <c r="V95" s="56">
        <f>V93+2/4*(U97-U93)</f>
        <v>-0.49285864881106234</v>
      </c>
      <c r="W95" s="59">
        <f t="shared" si="17"/>
        <v>0.6108776112401002</v>
      </c>
      <c r="X95" s="77">
        <f t="shared" si="18"/>
        <v>2.1904828836047212E-2</v>
      </c>
    </row>
    <row r="96" spans="20:24" x14ac:dyDescent="0.45">
      <c r="T96" s="86">
        <v>91</v>
      </c>
      <c r="U96" s="55"/>
      <c r="V96" s="56">
        <f>V93+3/4*(U97-U93)</f>
        <v>-0.49613434500771875</v>
      </c>
      <c r="W96" s="59">
        <f t="shared" si="17"/>
        <v>0.6088798356117272</v>
      </c>
      <c r="X96" s="77">
        <f t="shared" si="18"/>
        <v>2.1808103077262362E-2</v>
      </c>
    </row>
    <row r="97" spans="20:24" x14ac:dyDescent="0.45">
      <c r="T97" s="86">
        <v>92</v>
      </c>
      <c r="U97" s="56">
        <f>N28</f>
        <v>-0.49941004120437521</v>
      </c>
      <c r="V97" s="56">
        <f>U97</f>
        <v>-0.49941004120437521</v>
      </c>
      <c r="W97" s="59">
        <f t="shared" si="17"/>
        <v>0.60688859338282386</v>
      </c>
      <c r="X97" s="77">
        <f t="shared" si="18"/>
        <v>2.1713480052364141E-2</v>
      </c>
    </row>
    <row r="98" spans="20:24" x14ac:dyDescent="0.45">
      <c r="T98" s="86">
        <v>93</v>
      </c>
      <c r="U98" s="55"/>
      <c r="V98" s="56">
        <f>V97+1/4*(U101-U97)</f>
        <v>-0.50268573740103162</v>
      </c>
      <c r="W98" s="59">
        <f t="shared" si="17"/>
        <v>0.60490386318697253</v>
      </c>
      <c r="X98" s="77">
        <f t="shared" si="18"/>
        <v>2.1620891931227168E-2</v>
      </c>
    </row>
    <row r="99" spans="20:24" x14ac:dyDescent="0.45">
      <c r="T99" s="86">
        <v>94</v>
      </c>
      <c r="U99" s="55"/>
      <c r="V99" s="56">
        <f>V97+2/4*(U101-U97)</f>
        <v>-0.50596143359768808</v>
      </c>
      <c r="W99" s="59">
        <f t="shared" si="17"/>
        <v>0.6029256237276307</v>
      </c>
      <c r="X99" s="77">
        <f t="shared" si="18"/>
        <v>2.1530273770114391E-2</v>
      </c>
    </row>
    <row r="100" spans="20:24" x14ac:dyDescent="0.45">
      <c r="T100" s="86">
        <v>95</v>
      </c>
      <c r="U100" s="55"/>
      <c r="V100" s="56">
        <f>V97+3/4*(U101-U97)</f>
        <v>-0.50923712979434455</v>
      </c>
      <c r="W100" s="59">
        <f t="shared" si="17"/>
        <v>0.60095385377790311</v>
      </c>
      <c r="X100" s="77">
        <f t="shared" si="18"/>
        <v>2.144156335976187E-2</v>
      </c>
    </row>
    <row r="101" spans="20:24" x14ac:dyDescent="0.45">
      <c r="T101" s="86">
        <v>96</v>
      </c>
      <c r="U101" s="56">
        <f>N29</f>
        <v>-0.51251282599100101</v>
      </c>
      <c r="V101" s="56">
        <f>U101</f>
        <v>-0.51251282599100101</v>
      </c>
      <c r="W101" s="59">
        <f t="shared" si="17"/>
        <v>0.59898853218031312</v>
      </c>
      <c r="X101" s="77">
        <f t="shared" si="18"/>
        <v>2.1354701082958377E-2</v>
      </c>
    </row>
    <row r="102" spans="20:24" x14ac:dyDescent="0.45">
      <c r="T102" s="86">
        <v>97</v>
      </c>
      <c r="U102" s="55"/>
      <c r="V102" s="56">
        <f>V101+1/4*(U105-U101)</f>
        <v>-0.51578852218765747</v>
      </c>
      <c r="W102" s="59">
        <f t="shared" si="17"/>
        <v>0.59702963784657659</v>
      </c>
      <c r="X102" s="77">
        <f t="shared" si="18"/>
        <v>2.1269629780934326E-2</v>
      </c>
    </row>
    <row r="103" spans="20:24" x14ac:dyDescent="0.45">
      <c r="T103" s="86">
        <v>98</v>
      </c>
      <c r="U103" s="55"/>
      <c r="V103" s="56">
        <f>V101+2/4*(U105-U101)</f>
        <v>-0.51906421838431394</v>
      </c>
      <c r="W103" s="59">
        <f t="shared" si="17"/>
        <v>0.59507714975737491</v>
      </c>
      <c r="X103" s="77">
        <f t="shared" si="18"/>
        <v>2.1186294627931181E-2</v>
      </c>
    </row>
    <row r="104" spans="20:24" x14ac:dyDescent="0.45">
      <c r="T104" s="86">
        <v>99</v>
      </c>
      <c r="U104" s="55"/>
      <c r="V104" s="56">
        <f>V101+3/4*(U105-U101)</f>
        <v>-0.52233991458097029</v>
      </c>
      <c r="W104" s="59">
        <f t="shared" si="17"/>
        <v>0.59313104696212993</v>
      </c>
      <c r="X104" s="77">
        <f t="shared" si="18"/>
        <v>2.1104643013372539E-2</v>
      </c>
    </row>
    <row r="105" spans="20:24" x14ac:dyDescent="0.45">
      <c r="T105" s="86">
        <v>100</v>
      </c>
      <c r="U105" s="56">
        <f>N30</f>
        <v>-0.52561561077762675</v>
      </c>
      <c r="V105" s="56">
        <f>U105</f>
        <v>-0.52561561077762675</v>
      </c>
      <c r="W105" s="59">
        <f t="shared" si="17"/>
        <v>0.59119130857877877</v>
      </c>
      <c r="X105" s="77">
        <f t="shared" si="18"/>
        <v>2.1024624431105067E-2</v>
      </c>
    </row>
    <row r="106" spans="20:24" x14ac:dyDescent="0.45">
      <c r="T106" s="86">
        <v>101</v>
      </c>
      <c r="U106" s="55"/>
      <c r="V106" s="56">
        <f>V105+1/4*(U109-U105)</f>
        <v>-0.52844051885464116</v>
      </c>
      <c r="W106" s="59">
        <f t="shared" si="17"/>
        <v>0.5895236041410199</v>
      </c>
      <c r="X106" s="77">
        <f t="shared" si="18"/>
        <v>2.0928337380381832E-2</v>
      </c>
    </row>
    <row r="107" spans="20:24" x14ac:dyDescent="0.45">
      <c r="T107" s="86">
        <v>102</v>
      </c>
      <c r="U107" s="55"/>
      <c r="V107" s="56">
        <f>V105+2/4*(U109-U105)</f>
        <v>-0.53126542693165557</v>
      </c>
      <c r="W107" s="59">
        <f t="shared" si="17"/>
        <v>0.58786060416703012</v>
      </c>
      <c r="X107" s="77">
        <f t="shared" si="18"/>
        <v>2.0833938311045318E-2</v>
      </c>
    </row>
    <row r="108" spans="20:24" x14ac:dyDescent="0.45">
      <c r="T108" s="86">
        <v>103</v>
      </c>
      <c r="U108" s="55"/>
      <c r="V108" s="56">
        <f>V105+3/4*(U109-U105)</f>
        <v>-0.53409033500866998</v>
      </c>
      <c r="W108" s="59">
        <f t="shared" si="17"/>
        <v>0.58620229538588486</v>
      </c>
      <c r="X108" s="77">
        <f t="shared" si="18"/>
        <v>2.0741372233346413E-2</v>
      </c>
    </row>
    <row r="109" spans="20:24" x14ac:dyDescent="0.45">
      <c r="T109" s="86">
        <v>104</v>
      </c>
      <c r="U109" s="56">
        <f>N31</f>
        <v>-0.53691524308568439</v>
      </c>
      <c r="V109" s="56">
        <f>U109</f>
        <v>-0.53691524308568439</v>
      </c>
      <c r="W109" s="59">
        <f t="shared" si="17"/>
        <v>0.58454866456409627</v>
      </c>
      <c r="X109" s="77">
        <f t="shared" si="18"/>
        <v>2.0650586272526323E-2</v>
      </c>
    </row>
    <row r="110" spans="20:24" x14ac:dyDescent="0.45">
      <c r="T110" s="86">
        <v>105</v>
      </c>
      <c r="U110" s="55"/>
      <c r="V110" s="56">
        <f>V109+1/4*(U113-U109)</f>
        <v>-0.5397401511626988</v>
      </c>
      <c r="W110" s="59">
        <f t="shared" si="17"/>
        <v>0.58289969850550682</v>
      </c>
      <c r="X110" s="77">
        <f t="shared" si="18"/>
        <v>2.0561529568102806E-2</v>
      </c>
    </row>
    <row r="111" spans="20:24" x14ac:dyDescent="0.45">
      <c r="T111" s="86">
        <v>106</v>
      </c>
      <c r="U111" s="55"/>
      <c r="V111" s="56">
        <f>V109+2/4*(U113-U109)</f>
        <v>-0.54256505923971321</v>
      </c>
      <c r="W111" s="59">
        <f t="shared" si="17"/>
        <v>0.58125538405118438</v>
      </c>
      <c r="X111" s="77">
        <f t="shared" si="18"/>
        <v>2.0474153178857101E-2</v>
      </c>
    </row>
    <row r="112" spans="20:24" x14ac:dyDescent="0.45">
      <c r="T112" s="86">
        <v>107</v>
      </c>
      <c r="U112" s="55"/>
      <c r="V112" s="56">
        <f>V109+3/4*(U113-U109)</f>
        <v>-0.54538996731672762</v>
      </c>
      <c r="W112" s="59">
        <f t="shared" si="17"/>
        <v>0.57961570807931717</v>
      </c>
      <c r="X112" s="77">
        <f t="shared" si="18"/>
        <v>2.0388409993148695E-2</v>
      </c>
    </row>
    <row r="113" spans="20:24" x14ac:dyDescent="0.45">
      <c r="T113" s="86">
        <v>108</v>
      </c>
      <c r="U113" s="56">
        <f>N32</f>
        <v>-0.54821487539374203</v>
      </c>
      <c r="V113" s="56">
        <f>U113</f>
        <v>-0.54821487539374203</v>
      </c>
      <c r="W113" s="59">
        <f t="shared" si="17"/>
        <v>0.57798065750510907</v>
      </c>
      <c r="X113" s="77">
        <f t="shared" si="18"/>
        <v>2.0304254644212667E-2</v>
      </c>
    </row>
    <row r="114" spans="20:24" x14ac:dyDescent="0.45">
      <c r="T114" s="86">
        <v>109</v>
      </c>
      <c r="U114" s="55"/>
      <c r="V114" s="56">
        <f>V113+1/4*(U117-U113)</f>
        <v>-0.55103978347075644</v>
      </c>
      <c r="W114" s="59">
        <f t="shared" si="17"/>
        <v>0.57635021928067509</v>
      </c>
      <c r="X114" s="77">
        <f t="shared" si="18"/>
        <v>2.02216434301195E-2</v>
      </c>
    </row>
    <row r="115" spans="20:24" x14ac:dyDescent="0.45">
      <c r="T115" s="86">
        <v>110</v>
      </c>
      <c r="U115" s="55"/>
      <c r="V115" s="56">
        <f>V113+2/4*(U117-U113)</f>
        <v>-0.55386469154777085</v>
      </c>
      <c r="W115" s="59">
        <f t="shared" si="17"/>
        <v>0.57472438039493723</v>
      </c>
      <c r="X115" s="77">
        <f t="shared" si="18"/>
        <v>2.0140534238100753E-2</v>
      </c>
    </row>
    <row r="116" spans="20:24" x14ac:dyDescent="0.45">
      <c r="T116" s="86">
        <v>111</v>
      </c>
      <c r="U116" s="55"/>
      <c r="V116" s="56">
        <f>V113+3/4*(U117-U113)</f>
        <v>-0.55668959962478526</v>
      </c>
      <c r="W116" s="59">
        <f t="shared" si="17"/>
        <v>0.5731031278735208</v>
      </c>
      <c r="X116" s="77">
        <f t="shared" si="18"/>
        <v>2.0060886472965233E-2</v>
      </c>
    </row>
    <row r="117" spans="20:24" x14ac:dyDescent="0.45">
      <c r="T117" s="86">
        <v>112</v>
      </c>
      <c r="U117" s="56">
        <f>N33</f>
        <v>-0.55951450770179967</v>
      </c>
      <c r="V117" s="56">
        <f>U117</f>
        <v>-0.55951450770179967</v>
      </c>
      <c r="W117" s="59">
        <f t="shared" si="17"/>
        <v>0.57148644877865085</v>
      </c>
      <c r="X117" s="77">
        <f t="shared" si="18"/>
        <v>1.9982660989349987E-2</v>
      </c>
    </row>
    <row r="118" spans="20:24" x14ac:dyDescent="0.45">
      <c r="T118" s="86">
        <v>113</v>
      </c>
      <c r="U118" s="55"/>
      <c r="V118" s="56">
        <f>V117+1/4*(U121-U117)</f>
        <v>-0.56233941577881408</v>
      </c>
      <c r="W118" s="59">
        <f t="shared" si="17"/>
        <v>0.56987433020904887</v>
      </c>
      <c r="X118" s="77">
        <f t="shared" si="18"/>
        <v>1.9905820027568639E-2</v>
      </c>
    </row>
    <row r="119" spans="20:24" x14ac:dyDescent="0.45">
      <c r="T119" s="86">
        <v>114</v>
      </c>
      <c r="U119" s="55"/>
      <c r="V119" s="56">
        <f>V117+2/4*(U121-U117)</f>
        <v>-0.56516432385582849</v>
      </c>
      <c r="W119" s="59">
        <f t="shared" si="17"/>
        <v>0.56826675929982973</v>
      </c>
      <c r="X119" s="77">
        <f t="shared" si="18"/>
        <v>1.9830327152836086E-2</v>
      </c>
    </row>
    <row r="120" spans="20:24" x14ac:dyDescent="0.45">
      <c r="T120" s="86">
        <v>115</v>
      </c>
      <c r="U120" s="55"/>
      <c r="V120" s="56">
        <f>V117+3/4*(U121-U117)</f>
        <v>-0.5679892319328429</v>
      </c>
      <c r="W120" s="59">
        <f t="shared" si="17"/>
        <v>0.56666372322239922</v>
      </c>
      <c r="X120" s="77">
        <f t="shared" si="18"/>
        <v>1.9756147197664102E-2</v>
      </c>
    </row>
    <row r="121" spans="20:24" x14ac:dyDescent="0.45">
      <c r="T121" s="86">
        <v>116</v>
      </c>
      <c r="U121" s="56">
        <f>N34</f>
        <v>-0.57081414000985731</v>
      </c>
      <c r="V121" s="56">
        <f>U121</f>
        <v>-0.57081414000985731</v>
      </c>
      <c r="W121" s="59">
        <f t="shared" si="17"/>
        <v>0.56506520918435166</v>
      </c>
      <c r="X121" s="77">
        <f t="shared" si="18"/>
        <v>1.9683246207236459E-2</v>
      </c>
    </row>
    <row r="122" spans="20:24" x14ac:dyDescent="0.45">
      <c r="T122" s="86">
        <v>117</v>
      </c>
      <c r="U122" s="55"/>
      <c r="V122" s="56">
        <f>V121+1/4*(U125-U121)</f>
        <v>-0.57363904808687172</v>
      </c>
      <c r="W122" s="59">
        <f t="shared" si="17"/>
        <v>0.5634712044293676</v>
      </c>
      <c r="X122" s="77">
        <f t="shared" si="18"/>
        <v>1.9611591387585354E-2</v>
      </c>
    </row>
    <row r="123" spans="20:24" x14ac:dyDescent="0.45">
      <c r="T123" s="86">
        <v>118</v>
      </c>
      <c r="U123" s="55"/>
      <c r="V123" s="56">
        <f>V121+2/4*(U125-U121)</f>
        <v>-0.57646395616388613</v>
      </c>
      <c r="W123" s="59">
        <f t="shared" si="17"/>
        <v>0.56188169623711215</v>
      </c>
      <c r="X123" s="77">
        <f t="shared" si="18"/>
        <v>1.9541151056402924E-2</v>
      </c>
    </row>
    <row r="124" spans="20:24" x14ac:dyDescent="0.45">
      <c r="T124" s="86">
        <v>119</v>
      </c>
      <c r="U124" s="55"/>
      <c r="V124" s="56">
        <f>V121+3/4*(U125-U121)</f>
        <v>-0.57928886424090054</v>
      </c>
      <c r="W124" s="59">
        <f t="shared" si="17"/>
        <v>0.56029667192313382</v>
      </c>
      <c r="X124" s="77">
        <f t="shared" si="18"/>
        <v>1.9471894596332792E-2</v>
      </c>
    </row>
    <row r="125" spans="20:24" ht="14.65" thickBot="1" x14ac:dyDescent="0.5">
      <c r="T125" s="91">
        <v>120</v>
      </c>
      <c r="U125" s="92">
        <f>N35</f>
        <v>-0.58211377231791495</v>
      </c>
      <c r="V125" s="92">
        <f>U125</f>
        <v>-0.58211377231791495</v>
      </c>
      <c r="W125" s="93">
        <f t="shared" si="17"/>
        <v>0.55871611883876249</v>
      </c>
      <c r="X125" s="94">
        <f t="shared" si="18"/>
        <v>1.9403792410597167E-2</v>
      </c>
    </row>
  </sheetData>
  <mergeCells count="4">
    <mergeCell ref="B2:D2"/>
    <mergeCell ref="B38:D38"/>
    <mergeCell ref="M3:N3"/>
    <mergeCell ref="J37:K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Libor swap pricer</vt:lpstr>
      <vt:lpstr>discount curve stripping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Sisi Tang</dc:creator>
  <cp:lastModifiedBy>Sisi Tang</cp:lastModifiedBy>
  <dcterms:created xsi:type="dcterms:W3CDTF">2023-02-17T01:43:33Z</dcterms:created>
  <dcterms:modified xsi:type="dcterms:W3CDTF">2023-02-18T20:32:22Z</dcterms:modified>
</cp:coreProperties>
</file>